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พ้นสภาพ\นิสิตพ้นสภาพ 57\"/>
    </mc:Choice>
  </mc:AlternateContent>
  <bookViews>
    <workbookView xWindow="0" yWindow="0" windowWidth="20760" windowHeight="12015" activeTab="5"/>
  </bookViews>
  <sheets>
    <sheet name="สรุป 2 56" sheetId="1" r:id="rId1"/>
    <sheet name="สรุป1 2 56" sheetId="2" r:id="rId2"/>
    <sheet name="ตรีปกติ" sheetId="5" r:id="rId3"/>
    <sheet name="ตรีพิเศษ" sheetId="6" r:id="rId4"/>
    <sheet name="ตรีเทียบเข้า" sheetId="7" r:id="rId5"/>
    <sheet name="ป เอก" sheetId="3" r:id="rId6"/>
    <sheet name="ป โท" sheetId="4" r:id="rId7"/>
  </sheets>
  <externalReferences>
    <externalReference r:id="rId8"/>
    <externalReference r:id="rId9"/>
  </externalReferences>
  <definedNames>
    <definedName name="_xlnm._FilterDatabase" localSheetId="4" hidden="1">ตรีเทียบเข้า!$A$4:$U$46</definedName>
    <definedName name="_xlnm._FilterDatabase" localSheetId="2" hidden="1">ตรีปกติ!#REF!</definedName>
    <definedName name="_xlnm._FilterDatabase" localSheetId="3" hidden="1">ตรีพิเศษ!#REF!</definedName>
    <definedName name="_xlnm.Print_Titles" localSheetId="4">ตรีเทียบเข้า!$2:$4</definedName>
    <definedName name="_xlnm.Print_Titles" localSheetId="2">ตรีปกติ!#REF!</definedName>
    <definedName name="_xlnm.Print_Titles" localSheetId="3">ตรีพิเศษ!#REF!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E75" i="1" s="1"/>
  <c r="D74" i="1"/>
  <c r="E74" i="1" s="1"/>
  <c r="G73" i="1"/>
  <c r="G70" i="1" s="1"/>
  <c r="D73" i="1"/>
  <c r="E73" i="1" s="1"/>
  <c r="O70" i="1"/>
  <c r="N70" i="1"/>
  <c r="M70" i="1"/>
  <c r="L70" i="1"/>
  <c r="K70" i="1"/>
  <c r="J70" i="1"/>
  <c r="I70" i="1"/>
  <c r="F70" i="1"/>
  <c r="C70" i="1"/>
  <c r="H69" i="1"/>
  <c r="H75" i="1" s="1"/>
  <c r="H70" i="1" s="1"/>
  <c r="C69" i="1"/>
  <c r="H68" i="1"/>
  <c r="F68" i="1"/>
  <c r="C68" i="1"/>
  <c r="K67" i="1"/>
  <c r="K64" i="1" s="1"/>
  <c r="J67" i="1"/>
  <c r="I67" i="1"/>
  <c r="I64" i="1" s="1"/>
  <c r="H67" i="1"/>
  <c r="G67" i="1"/>
  <c r="G64" i="1" s="1"/>
  <c r="C67" i="1"/>
  <c r="O64" i="1"/>
  <c r="N64" i="1"/>
  <c r="M64" i="1"/>
  <c r="L64" i="1"/>
  <c r="J64" i="1"/>
  <c r="F64" i="1"/>
  <c r="O58" i="1"/>
  <c r="N58" i="1"/>
  <c r="M58" i="1"/>
  <c r="L58" i="1"/>
  <c r="K58" i="1"/>
  <c r="J58" i="1"/>
  <c r="I58" i="1"/>
  <c r="H58" i="1"/>
  <c r="G58" i="1"/>
  <c r="F58" i="1"/>
  <c r="D58" i="1"/>
  <c r="C58" i="1"/>
  <c r="D57" i="1"/>
  <c r="E57" i="1" s="1"/>
  <c r="D56" i="1"/>
  <c r="E56" i="1" s="1"/>
  <c r="K55" i="1"/>
  <c r="K52" i="1" s="1"/>
  <c r="J55" i="1"/>
  <c r="J52" i="1" s="1"/>
  <c r="I55" i="1"/>
  <c r="I52" i="1" s="1"/>
  <c r="C55" i="1"/>
  <c r="C52" i="1" s="1"/>
  <c r="O52" i="1"/>
  <c r="N52" i="1"/>
  <c r="M52" i="1"/>
  <c r="L52" i="1"/>
  <c r="H52" i="1"/>
  <c r="G52" i="1"/>
  <c r="F52" i="1"/>
  <c r="E51" i="1"/>
  <c r="E50" i="1"/>
  <c r="N49" i="1"/>
  <c r="L49" i="1"/>
  <c r="K49" i="1"/>
  <c r="K46" i="1" s="1"/>
  <c r="J49" i="1"/>
  <c r="J46" i="1" s="1"/>
  <c r="I49" i="1"/>
  <c r="I46" i="1" s="1"/>
  <c r="G49" i="1"/>
  <c r="C49" i="1"/>
  <c r="C46" i="1" s="1"/>
  <c r="L46" i="1"/>
  <c r="H46" i="1"/>
  <c r="G46" i="1"/>
  <c r="D46" i="1"/>
  <c r="E45" i="1"/>
  <c r="E44" i="1"/>
  <c r="E43" i="1"/>
  <c r="E42" i="1"/>
  <c r="E41" i="1"/>
  <c r="O40" i="1"/>
  <c r="N40" i="1"/>
  <c r="L40" i="1"/>
  <c r="K40" i="1"/>
  <c r="J40" i="1"/>
  <c r="I40" i="1"/>
  <c r="H40" i="1"/>
  <c r="G40" i="1"/>
  <c r="D40" i="1"/>
  <c r="C40" i="1"/>
  <c r="E39" i="1"/>
  <c r="E38" i="1"/>
  <c r="E37" i="1"/>
  <c r="E36" i="1"/>
  <c r="E35" i="1"/>
  <c r="N34" i="1"/>
  <c r="M34" i="1"/>
  <c r="K34" i="1"/>
  <c r="J34" i="1"/>
  <c r="I34" i="1"/>
  <c r="H34" i="1"/>
  <c r="G34" i="1"/>
  <c r="D34" i="1"/>
  <c r="E34" i="1" s="1"/>
  <c r="E33" i="1"/>
  <c r="E32" i="1"/>
  <c r="E31" i="1"/>
  <c r="E30" i="1"/>
  <c r="E29" i="1"/>
  <c r="O28" i="1"/>
  <c r="L28" i="1"/>
  <c r="K28" i="1"/>
  <c r="J28" i="1"/>
  <c r="I28" i="1"/>
  <c r="H28" i="1"/>
  <c r="G28" i="1"/>
  <c r="D28" i="1"/>
  <c r="C28" i="1"/>
  <c r="E27" i="1"/>
  <c r="E26" i="1"/>
  <c r="E25" i="1"/>
  <c r="E23" i="1"/>
  <c r="L22" i="1"/>
  <c r="K22" i="1"/>
  <c r="J22" i="1"/>
  <c r="I22" i="1"/>
  <c r="H22" i="1"/>
  <c r="G22" i="1"/>
  <c r="D22" i="1"/>
  <c r="C22" i="1"/>
  <c r="E21" i="1"/>
  <c r="E20" i="1"/>
  <c r="E19" i="1"/>
  <c r="L16" i="1"/>
  <c r="K16" i="1"/>
  <c r="J16" i="1"/>
  <c r="I16" i="1"/>
  <c r="H16" i="1"/>
  <c r="G16" i="1"/>
  <c r="D16" i="1"/>
  <c r="C16" i="1"/>
  <c r="E15" i="1"/>
  <c r="C14" i="1"/>
  <c r="E14" i="1" s="1"/>
  <c r="D13" i="1"/>
  <c r="C13" i="1"/>
  <c r="C11" i="1" s="1"/>
  <c r="K11" i="1"/>
  <c r="J11" i="1"/>
  <c r="I11" i="1"/>
  <c r="H11" i="1"/>
  <c r="G11" i="1"/>
  <c r="E10" i="1"/>
  <c r="C9" i="1"/>
  <c r="E9" i="1" s="1"/>
  <c r="D8" i="1"/>
  <c r="C8" i="1"/>
  <c r="K6" i="1"/>
  <c r="J6" i="1"/>
  <c r="I6" i="1"/>
  <c r="H6" i="1"/>
  <c r="G6" i="1"/>
  <c r="C6" i="1" l="1"/>
  <c r="C64" i="1"/>
  <c r="E28" i="1"/>
  <c r="E40" i="1"/>
  <c r="E13" i="1"/>
  <c r="H64" i="1"/>
  <c r="D69" i="1"/>
  <c r="E69" i="1" s="1"/>
  <c r="E8" i="1"/>
  <c r="D68" i="1"/>
  <c r="E68" i="1" s="1"/>
  <c r="D6" i="1"/>
  <c r="E6" i="1" s="1"/>
  <c r="E22" i="1"/>
  <c r="E16" i="1"/>
  <c r="D67" i="1"/>
  <c r="D64" i="1" s="1"/>
  <c r="E64" i="1" s="1"/>
  <c r="E46" i="1"/>
  <c r="D55" i="1"/>
  <c r="D70" i="1"/>
  <c r="E70" i="1" s="1"/>
  <c r="E49" i="1"/>
  <c r="E67" i="1" l="1"/>
  <c r="D52" i="1"/>
  <c r="E52" i="1" s="1"/>
  <c r="E55" i="1"/>
  <c r="T4" i="5" l="1"/>
  <c r="T4" i="4"/>
  <c r="T4" i="2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B25" i="5"/>
  <c r="J126" i="2" l="1"/>
  <c r="D126" i="2"/>
  <c r="J125" i="2"/>
  <c r="D125" i="2"/>
  <c r="J124" i="2"/>
  <c r="D124" i="2"/>
  <c r="J123" i="2"/>
  <c r="D123" i="2"/>
  <c r="J122" i="2"/>
  <c r="D122" i="2"/>
  <c r="D120" i="2"/>
  <c r="D119" i="2"/>
  <c r="D118" i="2"/>
  <c r="D117" i="2"/>
  <c r="D115" i="2"/>
  <c r="H114" i="2"/>
  <c r="D114" i="2" s="1"/>
  <c r="F114" i="2" s="1"/>
  <c r="H113" i="2"/>
  <c r="D113" i="2" s="1"/>
  <c r="F113" i="2" s="1"/>
  <c r="H112" i="2"/>
  <c r="D112" i="2" s="1"/>
  <c r="F112" i="2" s="1"/>
  <c r="H111" i="2"/>
  <c r="I111" i="2" s="1"/>
  <c r="I110" i="2"/>
  <c r="I109" i="2" s="1"/>
  <c r="D110" i="2"/>
  <c r="F110" i="2" s="1"/>
  <c r="T109" i="2"/>
  <c r="S109" i="2"/>
  <c r="R109" i="2"/>
  <c r="Q109" i="2"/>
  <c r="P109" i="2"/>
  <c r="O109" i="2"/>
  <c r="N109" i="2"/>
  <c r="M109" i="2"/>
  <c r="L109" i="2"/>
  <c r="K109" i="2"/>
  <c r="J109" i="2"/>
  <c r="J120" i="2" s="1"/>
  <c r="G109" i="2"/>
  <c r="G120" i="2" s="1"/>
  <c r="M108" i="2"/>
  <c r="H108" i="2" s="1"/>
  <c r="G108" i="2"/>
  <c r="G103" i="2" s="1"/>
  <c r="G119" i="2" s="1"/>
  <c r="H107" i="2"/>
  <c r="I107" i="2" s="1"/>
  <c r="H106" i="2"/>
  <c r="I106" i="2" s="1"/>
  <c r="H105" i="2"/>
  <c r="I105" i="2" s="1"/>
  <c r="H104" i="2"/>
  <c r="I104" i="2" s="1"/>
  <c r="T103" i="2"/>
  <c r="S103" i="2"/>
  <c r="R103" i="2"/>
  <c r="Q103" i="2"/>
  <c r="P103" i="2"/>
  <c r="O103" i="2"/>
  <c r="N103" i="2"/>
  <c r="L103" i="2"/>
  <c r="K103" i="2"/>
  <c r="J103" i="2"/>
  <c r="J119" i="2" s="1"/>
  <c r="M102" i="2"/>
  <c r="H102" i="2" s="1"/>
  <c r="G102" i="2"/>
  <c r="H101" i="2"/>
  <c r="I101" i="2" s="1"/>
  <c r="H100" i="2"/>
  <c r="I100" i="2" s="1"/>
  <c r="H99" i="2"/>
  <c r="I99" i="2" s="1"/>
  <c r="H98" i="2"/>
  <c r="D98" i="2" s="1"/>
  <c r="T97" i="2"/>
  <c r="S97" i="2"/>
  <c r="R97" i="2"/>
  <c r="Q97" i="2"/>
  <c r="P97" i="2"/>
  <c r="O97" i="2"/>
  <c r="N97" i="2"/>
  <c r="L97" i="2"/>
  <c r="K97" i="2"/>
  <c r="J97" i="2"/>
  <c r="J118" i="2" s="1"/>
  <c r="H96" i="2"/>
  <c r="I96" i="2" s="1"/>
  <c r="H95" i="2"/>
  <c r="I95" i="2" s="1"/>
  <c r="H94" i="2"/>
  <c r="I94" i="2" s="1"/>
  <c r="H93" i="2"/>
  <c r="I93" i="2" s="1"/>
  <c r="H92" i="2"/>
  <c r="D92" i="2" s="1"/>
  <c r="F92" i="2" s="1"/>
  <c r="T91" i="2"/>
  <c r="S91" i="2"/>
  <c r="R91" i="2"/>
  <c r="Q91" i="2"/>
  <c r="P91" i="2"/>
  <c r="O91" i="2"/>
  <c r="N91" i="2"/>
  <c r="M91" i="2"/>
  <c r="L91" i="2"/>
  <c r="K91" i="2"/>
  <c r="J91" i="2"/>
  <c r="J117" i="2" s="1"/>
  <c r="G91" i="2"/>
  <c r="G117" i="2" s="1"/>
  <c r="L90" i="2"/>
  <c r="H90" i="2" s="1"/>
  <c r="G90" i="2"/>
  <c r="L89" i="2"/>
  <c r="H89" i="2" s="1"/>
  <c r="G89" i="2"/>
  <c r="G125" i="2" s="1"/>
  <c r="L88" i="2"/>
  <c r="H88" i="2" s="1"/>
  <c r="G88" i="2"/>
  <c r="G124" i="2" s="1"/>
  <c r="N87" i="2"/>
  <c r="L87" i="2"/>
  <c r="G87" i="2"/>
  <c r="M86" i="2"/>
  <c r="M85" i="2" s="1"/>
  <c r="L86" i="2"/>
  <c r="G86" i="2"/>
  <c r="T85" i="2"/>
  <c r="S85" i="2"/>
  <c r="R85" i="2"/>
  <c r="Q85" i="2"/>
  <c r="P85" i="2"/>
  <c r="O85" i="2"/>
  <c r="N85" i="2"/>
  <c r="K85" i="2"/>
  <c r="J85" i="2"/>
  <c r="J116" i="2" s="1"/>
  <c r="P84" i="2"/>
  <c r="P79" i="2" s="1"/>
  <c r="N84" i="2"/>
  <c r="N79" i="2" s="1"/>
  <c r="L84" i="2"/>
  <c r="G84" i="2"/>
  <c r="H83" i="2"/>
  <c r="I83" i="2" s="1"/>
  <c r="H82" i="2"/>
  <c r="D82" i="2" s="1"/>
  <c r="F82" i="2" s="1"/>
  <c r="H81" i="2"/>
  <c r="I81" i="2" s="1"/>
  <c r="I80" i="2"/>
  <c r="H80" i="2"/>
  <c r="D80" i="2" s="1"/>
  <c r="F80" i="2" s="1"/>
  <c r="T79" i="2"/>
  <c r="S79" i="2"/>
  <c r="R79" i="2"/>
  <c r="Q79" i="2"/>
  <c r="O79" i="2"/>
  <c r="M79" i="2"/>
  <c r="L79" i="2"/>
  <c r="K79" i="2"/>
  <c r="J79" i="2"/>
  <c r="J115" i="2" s="1"/>
  <c r="T72" i="2"/>
  <c r="S72" i="2"/>
  <c r="Q72" i="2"/>
  <c r="D72" i="2"/>
  <c r="R71" i="2"/>
  <c r="R72" i="2" s="1"/>
  <c r="P71" i="2"/>
  <c r="M71" i="2"/>
  <c r="L71" i="2"/>
  <c r="J71" i="2"/>
  <c r="H71" i="2"/>
  <c r="I71" i="2" s="1"/>
  <c r="G71" i="2"/>
  <c r="P70" i="2"/>
  <c r="O70" i="2"/>
  <c r="M70" i="2"/>
  <c r="J70" i="2"/>
  <c r="H70" i="2"/>
  <c r="G70" i="2"/>
  <c r="P69" i="2"/>
  <c r="O69" i="2"/>
  <c r="N69" i="2"/>
  <c r="M69" i="2"/>
  <c r="J69" i="2"/>
  <c r="H69" i="2"/>
  <c r="G69" i="2"/>
  <c r="P68" i="2"/>
  <c r="O68" i="2"/>
  <c r="N68" i="2"/>
  <c r="M68" i="2"/>
  <c r="J68" i="2"/>
  <c r="H68" i="2"/>
  <c r="G68" i="2"/>
  <c r="N67" i="2"/>
  <c r="M67" i="2"/>
  <c r="L67" i="2"/>
  <c r="K67" i="2"/>
  <c r="K72" i="2" s="1"/>
  <c r="J67" i="2"/>
  <c r="J72" i="2" s="1"/>
  <c r="H67" i="2"/>
  <c r="H72" i="2" s="1"/>
  <c r="G67" i="2"/>
  <c r="G72" i="2" s="1"/>
  <c r="T66" i="2"/>
  <c r="S66" i="2"/>
  <c r="R66" i="2"/>
  <c r="Q66" i="2"/>
  <c r="O66" i="2"/>
  <c r="M66" i="2"/>
  <c r="L66" i="2"/>
  <c r="K66" i="2"/>
  <c r="J65" i="2"/>
  <c r="H65" i="2" s="1"/>
  <c r="G65" i="2"/>
  <c r="E65" i="2"/>
  <c r="F65" i="2" s="1"/>
  <c r="J64" i="2"/>
  <c r="H64" i="2" s="1"/>
  <c r="I64" i="2" s="1"/>
  <c r="G64" i="2"/>
  <c r="E64" i="2"/>
  <c r="F64" i="2" s="1"/>
  <c r="J63" i="2"/>
  <c r="H63" i="2" s="1"/>
  <c r="G63" i="2"/>
  <c r="E63" i="2"/>
  <c r="F63" i="2" s="1"/>
  <c r="J62" i="2"/>
  <c r="H62" i="2" s="1"/>
  <c r="G62" i="2"/>
  <c r="E62" i="2"/>
  <c r="F62" i="2" s="1"/>
  <c r="P61" i="2"/>
  <c r="P66" i="2" s="1"/>
  <c r="N61" i="2"/>
  <c r="J61" i="2"/>
  <c r="H61" i="2"/>
  <c r="G61" i="2"/>
  <c r="D61" i="2"/>
  <c r="J60" i="2"/>
  <c r="H60" i="2" s="1"/>
  <c r="G60" i="2"/>
  <c r="G66" i="2" s="1"/>
  <c r="E60" i="2"/>
  <c r="F60" i="2" s="1"/>
  <c r="T54" i="2"/>
  <c r="T126" i="2" s="1"/>
  <c r="S54" i="2"/>
  <c r="S126" i="2" s="1"/>
  <c r="R54" i="2"/>
  <c r="R126" i="2" s="1"/>
  <c r="Q54" i="2"/>
  <c r="Q126" i="2" s="1"/>
  <c r="O54" i="2"/>
  <c r="O126" i="2" s="1"/>
  <c r="K54" i="2"/>
  <c r="K126" i="2" s="1"/>
  <c r="J54" i="2"/>
  <c r="T53" i="2"/>
  <c r="T125" i="2" s="1"/>
  <c r="S53" i="2"/>
  <c r="S125" i="2" s="1"/>
  <c r="R53" i="2"/>
  <c r="R125" i="2" s="1"/>
  <c r="Q53" i="2"/>
  <c r="Q125" i="2" s="1"/>
  <c r="P53" i="2"/>
  <c r="O53" i="2"/>
  <c r="O125" i="2" s="1"/>
  <c r="N53" i="2"/>
  <c r="N125" i="2" s="1"/>
  <c r="M53" i="2"/>
  <c r="K53" i="2"/>
  <c r="K125" i="2" s="1"/>
  <c r="J53" i="2"/>
  <c r="T52" i="2"/>
  <c r="T124" i="2" s="1"/>
  <c r="S52" i="2"/>
  <c r="S124" i="2" s="1"/>
  <c r="R52" i="2"/>
  <c r="R124" i="2" s="1"/>
  <c r="Q52" i="2"/>
  <c r="Q124" i="2" s="1"/>
  <c r="P52" i="2"/>
  <c r="O52" i="2"/>
  <c r="O124" i="2" s="1"/>
  <c r="N52" i="2"/>
  <c r="M52" i="2"/>
  <c r="M124" i="2" s="1"/>
  <c r="K52" i="2"/>
  <c r="K124" i="2" s="1"/>
  <c r="J52" i="2"/>
  <c r="T51" i="2"/>
  <c r="T123" i="2" s="1"/>
  <c r="S51" i="2"/>
  <c r="S123" i="2" s="1"/>
  <c r="R51" i="2"/>
  <c r="R123" i="2" s="1"/>
  <c r="Q51" i="2"/>
  <c r="Q123" i="2" s="1"/>
  <c r="P51" i="2"/>
  <c r="P123" i="2" s="1"/>
  <c r="O51" i="2"/>
  <c r="M51" i="2"/>
  <c r="K51" i="2"/>
  <c r="K123" i="2" s="1"/>
  <c r="J51" i="2"/>
  <c r="T50" i="2"/>
  <c r="S50" i="2"/>
  <c r="S122" i="2" s="1"/>
  <c r="R50" i="2"/>
  <c r="R122" i="2" s="1"/>
  <c r="Q50" i="2"/>
  <c r="P50" i="2"/>
  <c r="P122" i="2" s="1"/>
  <c r="O50" i="2"/>
  <c r="O122" i="2" s="1"/>
  <c r="N50" i="2"/>
  <c r="K50" i="2"/>
  <c r="J50" i="2"/>
  <c r="H42" i="2"/>
  <c r="D42" i="2" s="1"/>
  <c r="F42" i="2" s="1"/>
  <c r="H41" i="2"/>
  <c r="D41" i="2" s="1"/>
  <c r="F41" i="2" s="1"/>
  <c r="H40" i="2"/>
  <c r="D40" i="2" s="1"/>
  <c r="F40" i="2" s="1"/>
  <c r="H39" i="2"/>
  <c r="D39" i="2" s="1"/>
  <c r="I38" i="2"/>
  <c r="I37" i="2" s="1"/>
  <c r="D38" i="2"/>
  <c r="F38" i="2" s="1"/>
  <c r="T37" i="2"/>
  <c r="T48" i="2" s="1"/>
  <c r="T120" i="2" s="1"/>
  <c r="S37" i="2"/>
  <c r="S48" i="2" s="1"/>
  <c r="S120" i="2" s="1"/>
  <c r="R37" i="2"/>
  <c r="R48" i="2" s="1"/>
  <c r="R120" i="2" s="1"/>
  <c r="Q37" i="2"/>
  <c r="Q48" i="2" s="1"/>
  <c r="Q120" i="2" s="1"/>
  <c r="P37" i="2"/>
  <c r="P48" i="2" s="1"/>
  <c r="P120" i="2" s="1"/>
  <c r="O37" i="2"/>
  <c r="O48" i="2" s="1"/>
  <c r="O120" i="2" s="1"/>
  <c r="N37" i="2"/>
  <c r="N48" i="2" s="1"/>
  <c r="N120" i="2" s="1"/>
  <c r="M37" i="2"/>
  <c r="M48" i="2" s="1"/>
  <c r="M120" i="2" s="1"/>
  <c r="L37" i="2"/>
  <c r="L48" i="2" s="1"/>
  <c r="L120" i="2" s="1"/>
  <c r="K37" i="2"/>
  <c r="K48" i="2" s="1"/>
  <c r="K120" i="2" s="1"/>
  <c r="J37" i="2"/>
  <c r="J48" i="2" s="1"/>
  <c r="G37" i="2"/>
  <c r="G48" i="2" s="1"/>
  <c r="M36" i="2"/>
  <c r="H36" i="2" s="1"/>
  <c r="I36" i="2" s="1"/>
  <c r="G36" i="2"/>
  <c r="H35" i="2"/>
  <c r="D35" i="2" s="1"/>
  <c r="F35" i="2" s="1"/>
  <c r="H34" i="2"/>
  <c r="D34" i="2" s="1"/>
  <c r="F34" i="2" s="1"/>
  <c r="H33" i="2"/>
  <c r="D33" i="2" s="1"/>
  <c r="F33" i="2" s="1"/>
  <c r="H32" i="2"/>
  <c r="D32" i="2" s="1"/>
  <c r="T31" i="2"/>
  <c r="T47" i="2" s="1"/>
  <c r="T119" i="2" s="1"/>
  <c r="S31" i="2"/>
  <c r="S47" i="2" s="1"/>
  <c r="S119" i="2" s="1"/>
  <c r="R31" i="2"/>
  <c r="R47" i="2" s="1"/>
  <c r="R119" i="2" s="1"/>
  <c r="Q31" i="2"/>
  <c r="Q47" i="2" s="1"/>
  <c r="Q119" i="2" s="1"/>
  <c r="P31" i="2"/>
  <c r="P47" i="2" s="1"/>
  <c r="P119" i="2" s="1"/>
  <c r="O31" i="2"/>
  <c r="O47" i="2" s="1"/>
  <c r="O119" i="2" s="1"/>
  <c r="N31" i="2"/>
  <c r="N47" i="2" s="1"/>
  <c r="N119" i="2" s="1"/>
  <c r="L31" i="2"/>
  <c r="L47" i="2" s="1"/>
  <c r="L119" i="2" s="1"/>
  <c r="K31" i="2"/>
  <c r="K47" i="2" s="1"/>
  <c r="K119" i="2" s="1"/>
  <c r="J31" i="2"/>
  <c r="J47" i="2" s="1"/>
  <c r="M30" i="2"/>
  <c r="M54" i="2" s="1"/>
  <c r="M126" i="2" s="1"/>
  <c r="G30" i="2"/>
  <c r="H29" i="2"/>
  <c r="I29" i="2" s="1"/>
  <c r="H28" i="2"/>
  <c r="I28" i="2" s="1"/>
  <c r="H27" i="2"/>
  <c r="I27" i="2" s="1"/>
  <c r="H26" i="2"/>
  <c r="I26" i="2" s="1"/>
  <c r="D26" i="2"/>
  <c r="F26" i="2" s="1"/>
  <c r="T25" i="2"/>
  <c r="T46" i="2" s="1"/>
  <c r="T118" i="2" s="1"/>
  <c r="S25" i="2"/>
  <c r="S46" i="2" s="1"/>
  <c r="S118" i="2" s="1"/>
  <c r="R25" i="2"/>
  <c r="R46" i="2" s="1"/>
  <c r="R118" i="2" s="1"/>
  <c r="Q25" i="2"/>
  <c r="Q46" i="2" s="1"/>
  <c r="Q118" i="2" s="1"/>
  <c r="P25" i="2"/>
  <c r="P46" i="2" s="1"/>
  <c r="P118" i="2" s="1"/>
  <c r="O25" i="2"/>
  <c r="O46" i="2" s="1"/>
  <c r="O118" i="2" s="1"/>
  <c r="N25" i="2"/>
  <c r="N46" i="2" s="1"/>
  <c r="N118" i="2" s="1"/>
  <c r="L25" i="2"/>
  <c r="L46" i="2" s="1"/>
  <c r="L118" i="2" s="1"/>
  <c r="K25" i="2"/>
  <c r="K46" i="2" s="1"/>
  <c r="K118" i="2" s="1"/>
  <c r="J25" i="2"/>
  <c r="J46" i="2" s="1"/>
  <c r="G25" i="2"/>
  <c r="G46" i="2" s="1"/>
  <c r="H24" i="2"/>
  <c r="I24" i="2" s="1"/>
  <c r="H23" i="2"/>
  <c r="I23" i="2" s="1"/>
  <c r="H22" i="2"/>
  <c r="I22" i="2" s="1"/>
  <c r="H21" i="2"/>
  <c r="I21" i="2" s="1"/>
  <c r="H20" i="2"/>
  <c r="I20" i="2" s="1"/>
  <c r="I19" i="2" s="1"/>
  <c r="D20" i="2"/>
  <c r="F20" i="2" s="1"/>
  <c r="T19" i="2"/>
  <c r="T45" i="2" s="1"/>
  <c r="T117" i="2" s="1"/>
  <c r="S19" i="2"/>
  <c r="S45" i="2" s="1"/>
  <c r="S117" i="2" s="1"/>
  <c r="R19" i="2"/>
  <c r="R45" i="2" s="1"/>
  <c r="R117" i="2" s="1"/>
  <c r="Q19" i="2"/>
  <c r="Q45" i="2" s="1"/>
  <c r="Q117" i="2" s="1"/>
  <c r="P19" i="2"/>
  <c r="P45" i="2" s="1"/>
  <c r="P117" i="2" s="1"/>
  <c r="O19" i="2"/>
  <c r="O45" i="2" s="1"/>
  <c r="O117" i="2" s="1"/>
  <c r="N19" i="2"/>
  <c r="N45" i="2" s="1"/>
  <c r="N117" i="2" s="1"/>
  <c r="M19" i="2"/>
  <c r="M45" i="2" s="1"/>
  <c r="M117" i="2" s="1"/>
  <c r="L19" i="2"/>
  <c r="L45" i="2" s="1"/>
  <c r="L117" i="2" s="1"/>
  <c r="K19" i="2"/>
  <c r="K45" i="2" s="1"/>
  <c r="K117" i="2" s="1"/>
  <c r="J19" i="2"/>
  <c r="J45" i="2" s="1"/>
  <c r="G19" i="2"/>
  <c r="G45" i="2" s="1"/>
  <c r="L18" i="2"/>
  <c r="H18" i="2" s="1"/>
  <c r="G18" i="2"/>
  <c r="L17" i="2"/>
  <c r="H17" i="2" s="1"/>
  <c r="G17" i="2"/>
  <c r="G53" i="2" s="1"/>
  <c r="L16" i="2"/>
  <c r="L52" i="2" s="1"/>
  <c r="L124" i="2" s="1"/>
  <c r="G16" i="2"/>
  <c r="N15" i="2"/>
  <c r="N51" i="2" s="1"/>
  <c r="L15" i="2"/>
  <c r="L51" i="2" s="1"/>
  <c r="L123" i="2" s="1"/>
  <c r="G15" i="2"/>
  <c r="M14" i="2"/>
  <c r="M50" i="2" s="1"/>
  <c r="L14" i="2"/>
  <c r="G14" i="2"/>
  <c r="G50" i="2" s="1"/>
  <c r="T13" i="2"/>
  <c r="T44" i="2" s="1"/>
  <c r="T116" i="2" s="1"/>
  <c r="S13" i="2"/>
  <c r="S44" i="2" s="1"/>
  <c r="S116" i="2" s="1"/>
  <c r="R13" i="2"/>
  <c r="R44" i="2" s="1"/>
  <c r="R116" i="2" s="1"/>
  <c r="Q13" i="2"/>
  <c r="Q44" i="2" s="1"/>
  <c r="Q116" i="2" s="1"/>
  <c r="P13" i="2"/>
  <c r="P44" i="2" s="1"/>
  <c r="O13" i="2"/>
  <c r="O44" i="2" s="1"/>
  <c r="O116" i="2" s="1"/>
  <c r="N13" i="2"/>
  <c r="N44" i="2" s="1"/>
  <c r="K13" i="2"/>
  <c r="K44" i="2" s="1"/>
  <c r="K116" i="2" s="1"/>
  <c r="J13" i="2"/>
  <c r="J44" i="2" s="1"/>
  <c r="P12" i="2"/>
  <c r="P54" i="2" s="1"/>
  <c r="N12" i="2"/>
  <c r="N54" i="2" s="1"/>
  <c r="N126" i="2" s="1"/>
  <c r="L12" i="2"/>
  <c r="G12" i="2"/>
  <c r="G54" i="2" s="1"/>
  <c r="H11" i="2"/>
  <c r="I11" i="2" s="1"/>
  <c r="H10" i="2"/>
  <c r="I10" i="2" s="1"/>
  <c r="H9" i="2"/>
  <c r="I9" i="2" s="1"/>
  <c r="H8" i="2"/>
  <c r="I8" i="2" s="1"/>
  <c r="T7" i="2"/>
  <c r="T43" i="2" s="1"/>
  <c r="S7" i="2"/>
  <c r="S43" i="2" s="1"/>
  <c r="R7" i="2"/>
  <c r="R43" i="2" s="1"/>
  <c r="Q7" i="2"/>
  <c r="Q43" i="2" s="1"/>
  <c r="O7" i="2"/>
  <c r="O43" i="2" s="1"/>
  <c r="M7" i="2"/>
  <c r="M43" i="2" s="1"/>
  <c r="K7" i="2"/>
  <c r="K43" i="2" s="1"/>
  <c r="J7" i="2"/>
  <c r="J43" i="2" s="1"/>
  <c r="P78" i="2" l="1"/>
  <c r="D96" i="2"/>
  <c r="F96" i="2" s="1"/>
  <c r="T6" i="2"/>
  <c r="I108" i="2"/>
  <c r="I70" i="2"/>
  <c r="D93" i="2"/>
  <c r="F93" i="2" s="1"/>
  <c r="P126" i="2"/>
  <c r="S127" i="2"/>
  <c r="P124" i="2"/>
  <c r="O123" i="2"/>
  <c r="O127" i="2" s="1"/>
  <c r="E71" i="2"/>
  <c r="F71" i="2" s="1"/>
  <c r="D10" i="2"/>
  <c r="I89" i="2"/>
  <c r="P7" i="2"/>
  <c r="R6" i="2"/>
  <c r="D9" i="2"/>
  <c r="F9" i="2" s="1"/>
  <c r="M13" i="2"/>
  <c r="M44" i="2" s="1"/>
  <c r="M116" i="2" s="1"/>
  <c r="D24" i="2"/>
  <c r="F24" i="2" s="1"/>
  <c r="I63" i="2"/>
  <c r="M72" i="2"/>
  <c r="D81" i="2"/>
  <c r="F81" i="2" s="1"/>
  <c r="R78" i="2"/>
  <c r="M97" i="2"/>
  <c r="I102" i="2"/>
  <c r="D29" i="2"/>
  <c r="F29" i="2" s="1"/>
  <c r="N122" i="2"/>
  <c r="I65" i="2"/>
  <c r="E68" i="2"/>
  <c r="F68" i="2" s="1"/>
  <c r="I88" i="2"/>
  <c r="P116" i="2"/>
  <c r="I18" i="2"/>
  <c r="D21" i="2"/>
  <c r="F21" i="2" s="1"/>
  <c r="M123" i="2"/>
  <c r="Q78" i="2"/>
  <c r="G85" i="2"/>
  <c r="G116" i="2" s="1"/>
  <c r="D89" i="2"/>
  <c r="F89" i="2" s="1"/>
  <c r="T78" i="2"/>
  <c r="D105" i="2"/>
  <c r="F105" i="2" s="1"/>
  <c r="I114" i="2"/>
  <c r="D90" i="2"/>
  <c r="F90" i="2" s="1"/>
  <c r="I90" i="2"/>
  <c r="D83" i="2"/>
  <c r="F83" i="2" s="1"/>
  <c r="M103" i="2"/>
  <c r="H103" i="2"/>
  <c r="D108" i="2"/>
  <c r="F108" i="2" s="1"/>
  <c r="D127" i="2"/>
  <c r="J127" i="2"/>
  <c r="K6" i="2"/>
  <c r="D8" i="2"/>
  <c r="F8" i="2" s="1"/>
  <c r="D22" i="2"/>
  <c r="F22" i="2" s="1"/>
  <c r="D27" i="2"/>
  <c r="F27" i="2" s="1"/>
  <c r="H31" i="2"/>
  <c r="M31" i="2"/>
  <c r="M47" i="2" s="1"/>
  <c r="M119" i="2" s="1"/>
  <c r="E119" i="2" s="1"/>
  <c r="D36" i="2"/>
  <c r="F36" i="2" s="1"/>
  <c r="K122" i="2"/>
  <c r="K127" i="2" s="1"/>
  <c r="N124" i="2"/>
  <c r="P125" i="2"/>
  <c r="P72" i="2"/>
  <c r="Q6" i="2"/>
  <c r="G7" i="2"/>
  <c r="G43" i="2" s="1"/>
  <c r="N7" i="2"/>
  <c r="D11" i="2"/>
  <c r="F11" i="2" s="1"/>
  <c r="H12" i="2"/>
  <c r="I12" i="2" s="1"/>
  <c r="I7" i="2" s="1"/>
  <c r="H16" i="2"/>
  <c r="I16" i="2" s="1"/>
  <c r="D18" i="2"/>
  <c r="F18" i="2" s="1"/>
  <c r="M25" i="2"/>
  <c r="M46" i="2" s="1"/>
  <c r="M118" i="2" s="1"/>
  <c r="E118" i="2" s="1"/>
  <c r="F118" i="2" s="1"/>
  <c r="I32" i="2"/>
  <c r="I34" i="2"/>
  <c r="H48" i="2"/>
  <c r="I48" i="2" s="1"/>
  <c r="R127" i="2"/>
  <c r="M125" i="2"/>
  <c r="N72" i="2"/>
  <c r="E69" i="2"/>
  <c r="F69" i="2" s="1"/>
  <c r="E70" i="2"/>
  <c r="F70" i="2" s="1"/>
  <c r="N78" i="2"/>
  <c r="H87" i="2"/>
  <c r="I87" i="2" s="1"/>
  <c r="K78" i="2"/>
  <c r="O78" i="2"/>
  <c r="S78" i="2"/>
  <c r="D100" i="2"/>
  <c r="F100" i="2" s="1"/>
  <c r="I103" i="2"/>
  <c r="D106" i="2"/>
  <c r="F106" i="2" s="1"/>
  <c r="G122" i="2"/>
  <c r="J6" i="2"/>
  <c r="O6" i="2"/>
  <c r="S6" i="2"/>
  <c r="F10" i="2"/>
  <c r="N116" i="2"/>
  <c r="H14" i="2"/>
  <c r="D14" i="2" s="1"/>
  <c r="N123" i="2"/>
  <c r="H45" i="2"/>
  <c r="I45" i="2" s="1"/>
  <c r="D23" i="2"/>
  <c r="F23" i="2" s="1"/>
  <c r="D28" i="2"/>
  <c r="F28" i="2" s="1"/>
  <c r="G31" i="2"/>
  <c r="G47" i="2" s="1"/>
  <c r="I33" i="2"/>
  <c r="I35" i="2"/>
  <c r="J55" i="2"/>
  <c r="L72" i="2"/>
  <c r="I68" i="2"/>
  <c r="O72" i="2"/>
  <c r="I69" i="2"/>
  <c r="G126" i="2"/>
  <c r="M78" i="2"/>
  <c r="D88" i="2"/>
  <c r="F88" i="2" s="1"/>
  <c r="D101" i="2"/>
  <c r="F101" i="2" s="1"/>
  <c r="J49" i="2"/>
  <c r="O115" i="2"/>
  <c r="O121" i="2" s="1"/>
  <c r="O49" i="2"/>
  <c r="S115" i="2"/>
  <c r="S121" i="2" s="1"/>
  <c r="S49" i="2"/>
  <c r="E120" i="2"/>
  <c r="F120" i="2" s="1"/>
  <c r="K115" i="2"/>
  <c r="K49" i="2"/>
  <c r="T115" i="2"/>
  <c r="T121" i="2" s="1"/>
  <c r="T49" i="2"/>
  <c r="F39" i="2"/>
  <c r="D37" i="2"/>
  <c r="M115" i="2"/>
  <c r="Q115" i="2"/>
  <c r="Q121" i="2" s="1"/>
  <c r="Q49" i="2"/>
  <c r="M122" i="2"/>
  <c r="M55" i="2"/>
  <c r="I17" i="2"/>
  <c r="D17" i="2"/>
  <c r="F17" i="2" s="1"/>
  <c r="E117" i="2"/>
  <c r="F32" i="2"/>
  <c r="R115" i="2"/>
  <c r="R121" i="2" s="1"/>
  <c r="R49" i="2"/>
  <c r="R55" i="2"/>
  <c r="I61" i="2"/>
  <c r="J121" i="2"/>
  <c r="G51" i="2"/>
  <c r="G52" i="2"/>
  <c r="N55" i="2"/>
  <c r="S55" i="2"/>
  <c r="H66" i="2"/>
  <c r="I66" i="2" s="1"/>
  <c r="I60" i="2"/>
  <c r="F98" i="2"/>
  <c r="G13" i="2"/>
  <c r="H15" i="2"/>
  <c r="I15" i="2" s="1"/>
  <c r="I39" i="2"/>
  <c r="I40" i="2"/>
  <c r="I41" i="2"/>
  <c r="I42" i="2"/>
  <c r="L50" i="2"/>
  <c r="T55" i="2"/>
  <c r="T122" i="2"/>
  <c r="T127" i="2" s="1"/>
  <c r="H52" i="2"/>
  <c r="H53" i="2"/>
  <c r="I53" i="2" s="1"/>
  <c r="L53" i="2"/>
  <c r="L125" i="2" s="1"/>
  <c r="L54" i="2"/>
  <c r="L126" i="2" s="1"/>
  <c r="O55" i="2"/>
  <c r="D116" i="2"/>
  <c r="D66" i="2"/>
  <c r="E61" i="2"/>
  <c r="F61" i="2" s="1"/>
  <c r="I62" i="2"/>
  <c r="J66" i="2"/>
  <c r="N66" i="2"/>
  <c r="I72" i="2"/>
  <c r="H117" i="2"/>
  <c r="I117" i="2" s="1"/>
  <c r="H120" i="2"/>
  <c r="I120" i="2" s="1"/>
  <c r="L7" i="2"/>
  <c r="L13" i="2"/>
  <c r="L44" i="2" s="1"/>
  <c r="L116" i="2" s="1"/>
  <c r="H19" i="2"/>
  <c r="H30" i="2"/>
  <c r="H37" i="2"/>
  <c r="Q122" i="2"/>
  <c r="Q127" i="2" s="1"/>
  <c r="Q55" i="2"/>
  <c r="K55" i="2"/>
  <c r="P55" i="2"/>
  <c r="E67" i="2"/>
  <c r="I67" i="2"/>
  <c r="G79" i="2"/>
  <c r="H124" i="2"/>
  <c r="I124" i="2" s="1"/>
  <c r="I82" i="2"/>
  <c r="H84" i="2"/>
  <c r="D84" i="2" s="1"/>
  <c r="I92" i="2"/>
  <c r="I91" i="2" s="1"/>
  <c r="H91" i="2"/>
  <c r="D94" i="2"/>
  <c r="F94" i="2" s="1"/>
  <c r="D102" i="2"/>
  <c r="F102" i="2" s="1"/>
  <c r="D104" i="2"/>
  <c r="D111" i="2"/>
  <c r="H109" i="2"/>
  <c r="I112" i="2"/>
  <c r="G123" i="2"/>
  <c r="H86" i="2"/>
  <c r="H122" i="2" s="1"/>
  <c r="L85" i="2"/>
  <c r="L78" i="2" s="1"/>
  <c r="D107" i="2"/>
  <c r="F107" i="2" s="1"/>
  <c r="I98" i="2"/>
  <c r="I97" i="2" s="1"/>
  <c r="H97" i="2"/>
  <c r="J78" i="2"/>
  <c r="D95" i="2"/>
  <c r="F95" i="2" s="1"/>
  <c r="G97" i="2"/>
  <c r="G118" i="2" s="1"/>
  <c r="D99" i="2"/>
  <c r="F99" i="2" s="1"/>
  <c r="I113" i="2"/>
  <c r="H125" i="2"/>
  <c r="I125" i="2" s="1"/>
  <c r="E126" i="2" l="1"/>
  <c r="F126" i="2" s="1"/>
  <c r="H118" i="2"/>
  <c r="D31" i="2"/>
  <c r="F31" i="2" s="1"/>
  <c r="E123" i="2"/>
  <c r="F123" i="2" s="1"/>
  <c r="P127" i="2"/>
  <c r="H46" i="2"/>
  <c r="I46" i="2" s="1"/>
  <c r="H123" i="2"/>
  <c r="I123" i="2" s="1"/>
  <c r="N127" i="2"/>
  <c r="D87" i="2"/>
  <c r="F87" i="2" s="1"/>
  <c r="H47" i="2"/>
  <c r="I47" i="2" s="1"/>
  <c r="H119" i="2"/>
  <c r="I119" i="2" s="1"/>
  <c r="E116" i="2"/>
  <c r="G127" i="2"/>
  <c r="E125" i="2"/>
  <c r="F125" i="2" s="1"/>
  <c r="M49" i="2"/>
  <c r="D50" i="2"/>
  <c r="D91" i="2"/>
  <c r="F91" i="2" s="1"/>
  <c r="M127" i="2"/>
  <c r="M121" i="2"/>
  <c r="D16" i="2"/>
  <c r="F16" i="2" s="1"/>
  <c r="P43" i="2"/>
  <c r="P6" i="2"/>
  <c r="D15" i="2"/>
  <c r="F15" i="2" s="1"/>
  <c r="H50" i="2"/>
  <c r="E124" i="2"/>
  <c r="F124" i="2" s="1"/>
  <c r="H7" i="2"/>
  <c r="I14" i="2"/>
  <c r="I13" i="2" s="1"/>
  <c r="I31" i="2"/>
  <c r="D19" i="2"/>
  <c r="F116" i="2"/>
  <c r="I52" i="2"/>
  <c r="D12" i="2"/>
  <c r="M6" i="2"/>
  <c r="H51" i="2"/>
  <c r="I51" i="2" s="1"/>
  <c r="G55" i="2"/>
  <c r="D52" i="2"/>
  <c r="F52" i="2" s="1"/>
  <c r="N43" i="2"/>
  <c r="N6" i="2"/>
  <c r="I122" i="2"/>
  <c r="F111" i="2"/>
  <c r="D109" i="2"/>
  <c r="F109" i="2" s="1"/>
  <c r="D79" i="2"/>
  <c r="F84" i="2"/>
  <c r="D121" i="2"/>
  <c r="F104" i="2"/>
  <c r="D103" i="2"/>
  <c r="F103" i="2" s="1"/>
  <c r="E72" i="2"/>
  <c r="F72" i="2" s="1"/>
  <c r="F67" i="2"/>
  <c r="L6" i="2"/>
  <c r="L43" i="2"/>
  <c r="H116" i="2"/>
  <c r="I116" i="2" s="1"/>
  <c r="E66" i="2"/>
  <c r="F66" i="2" s="1"/>
  <c r="F12" i="2"/>
  <c r="D7" i="2"/>
  <c r="D53" i="2"/>
  <c r="F53" i="2" s="1"/>
  <c r="D48" i="2"/>
  <c r="F48" i="2" s="1"/>
  <c r="F37" i="2"/>
  <c r="K121" i="2"/>
  <c r="F119" i="2"/>
  <c r="H25" i="2"/>
  <c r="I30" i="2"/>
  <c r="I25" i="2" s="1"/>
  <c r="D30" i="2"/>
  <c r="D54" i="2" s="1"/>
  <c r="G6" i="2"/>
  <c r="G44" i="2"/>
  <c r="G49" i="2" s="1"/>
  <c r="F117" i="2"/>
  <c r="H13" i="2"/>
  <c r="I84" i="2"/>
  <c r="I79" i="2" s="1"/>
  <c r="H79" i="2"/>
  <c r="H126" i="2"/>
  <c r="I126" i="2" s="1"/>
  <c r="G115" i="2"/>
  <c r="G121" i="2" s="1"/>
  <c r="G78" i="2"/>
  <c r="I118" i="2"/>
  <c r="L122" i="2"/>
  <c r="L55" i="2"/>
  <c r="H54" i="2"/>
  <c r="I54" i="2" s="1"/>
  <c r="H44" i="2"/>
  <c r="I44" i="2" s="1"/>
  <c r="H85" i="2"/>
  <c r="D86" i="2"/>
  <c r="I86" i="2"/>
  <c r="I85" i="2" s="1"/>
  <c r="I50" i="2"/>
  <c r="D97" i="2"/>
  <c r="F97" i="2" s="1"/>
  <c r="F50" i="2"/>
  <c r="F14" i="2"/>
  <c r="D13" i="2" l="1"/>
  <c r="D47" i="2"/>
  <c r="F47" i="2" s="1"/>
  <c r="D51" i="2"/>
  <c r="F51" i="2" s="1"/>
  <c r="H6" i="2"/>
  <c r="P49" i="2"/>
  <c r="P115" i="2"/>
  <c r="P121" i="2" s="1"/>
  <c r="I6" i="2"/>
  <c r="N49" i="2"/>
  <c r="N115" i="2"/>
  <c r="N121" i="2" s="1"/>
  <c r="D45" i="2"/>
  <c r="F45" i="2" s="1"/>
  <c r="F19" i="2"/>
  <c r="I78" i="2"/>
  <c r="F54" i="2"/>
  <c r="D85" i="2"/>
  <c r="F85" i="2" s="1"/>
  <c r="F86" i="2"/>
  <c r="D44" i="2"/>
  <c r="F44" i="2" s="1"/>
  <c r="F13" i="2"/>
  <c r="H55" i="2"/>
  <c r="I55" i="2" s="1"/>
  <c r="H78" i="2"/>
  <c r="F79" i="2"/>
  <c r="F30" i="2"/>
  <c r="D25" i="2"/>
  <c r="D6" i="2" s="1"/>
  <c r="F6" i="2" s="1"/>
  <c r="D43" i="2"/>
  <c r="F7" i="2"/>
  <c r="I127" i="2"/>
  <c r="L127" i="2"/>
  <c r="E122" i="2"/>
  <c r="L115" i="2"/>
  <c r="L49" i="2"/>
  <c r="H43" i="2"/>
  <c r="H127" i="2"/>
  <c r="D55" i="2" l="1"/>
  <c r="F55" i="2" s="1"/>
  <c r="L121" i="2"/>
  <c r="H115" i="2"/>
  <c r="E115" i="2"/>
  <c r="E127" i="2"/>
  <c r="F127" i="2" s="1"/>
  <c r="F122" i="2"/>
  <c r="D46" i="2"/>
  <c r="F46" i="2" s="1"/>
  <c r="F25" i="2"/>
  <c r="D78" i="2"/>
  <c r="F78" i="2" s="1"/>
  <c r="I43" i="2"/>
  <c r="H49" i="2"/>
  <c r="I49" i="2" s="1"/>
  <c r="F43" i="2"/>
  <c r="D49" i="2" l="1"/>
  <c r="F49" i="2" s="1"/>
  <c r="F115" i="2"/>
  <c r="E121" i="2"/>
  <c r="F121" i="2" s="1"/>
  <c r="I115" i="2"/>
  <c r="I121" i="2" s="1"/>
  <c r="H121" i="2"/>
</calcChain>
</file>

<file path=xl/sharedStrings.xml><?xml version="1.0" encoding="utf-8"?>
<sst xmlns="http://schemas.openxmlformats.org/spreadsheetml/2006/main" count="1304" uniqueCount="168">
  <si>
    <t>จำแนกตามระดับการศึกษา และสาเหตุการพ้นสภาพนิสิต</t>
  </si>
  <si>
    <t xml:space="preserve">จำนวนนิสิต </t>
  </si>
  <si>
    <t>ร้อยละ</t>
  </si>
  <si>
    <t>สาเหตุการพ้นสภาพนิสิตตามข้อบังคับของมหาวิทยาลัย</t>
  </si>
  <si>
    <t>ทั้งหมด</t>
  </si>
  <si>
    <t>พ้นสภาพ</t>
  </si>
  <si>
    <t>20.3.1</t>
  </si>
  <si>
    <t>20.3.2</t>
  </si>
  <si>
    <t>20.3.3</t>
  </si>
  <si>
    <t>20.3.4</t>
  </si>
  <si>
    <t>20.3.5</t>
  </si>
  <si>
    <t>20.3.6</t>
  </si>
  <si>
    <t>20.3.7</t>
  </si>
  <si>
    <t>20.3.8</t>
  </si>
  <si>
    <t>20.3.9</t>
  </si>
  <si>
    <t>37.4.3</t>
  </si>
  <si>
    <t>(คน)</t>
  </si>
  <si>
    <t>37.4.1</t>
  </si>
  <si>
    <t>37.4.2</t>
  </si>
  <si>
    <t>37.4.4</t>
  </si>
  <si>
    <t>37.4.5</t>
  </si>
  <si>
    <t>37.4.6</t>
  </si>
  <si>
    <t>37.4.7</t>
  </si>
  <si>
    <t>37.4.8</t>
  </si>
  <si>
    <t>37.4.9</t>
  </si>
  <si>
    <t>37.4.12</t>
  </si>
  <si>
    <t>ปริญญาตรี ระบบปกติ</t>
  </si>
  <si>
    <t>ปริญญาตรี ระบบพิเศษ</t>
  </si>
  <si>
    <t>ปริญาโท ในระบบ</t>
  </si>
  <si>
    <t>ปริญญาโท นอกระบบ</t>
  </si>
  <si>
    <t>ปริญญาเอก ในระบบ</t>
  </si>
  <si>
    <t>ปริญญาเอก นอกระบบ</t>
  </si>
  <si>
    <t xml:space="preserve">รวม </t>
  </si>
  <si>
    <t>ชั้นปีที่ 1</t>
  </si>
  <si>
    <t>ชั้นปีที่ 2</t>
  </si>
  <si>
    <t>ชั้นปีที่ 3</t>
  </si>
  <si>
    <t>ชั้นปีที่ 4</t>
  </si>
  <si>
    <t>อื่นๆ</t>
  </si>
  <si>
    <t>ระดับการศึกษา</t>
  </si>
  <si>
    <t>สาเหตุการพ้นสภาพนิสิตตามข้อบังคับของมหาวิทยาลัย 2556</t>
  </si>
  <si>
    <t>ป.ตรี</t>
  </si>
  <si>
    <t>ป.โท/เอก</t>
  </si>
  <si>
    <r>
      <t xml:space="preserve">ตาราง 1  </t>
    </r>
    <r>
      <rPr>
        <sz val="14"/>
        <rFont val="TH SarabunPSK"/>
        <family val="2"/>
      </rPr>
      <t xml:space="preserve"> จำนวนและร้อยละของนิสิตพ้นสภาพ มหาวิทยาลัยมหาสารคาม ในช่วงปีการศึกษา 2556</t>
    </r>
  </si>
  <si>
    <t>สาเหตุการพ้นสภาพนิสิตตามข้อบังคับของมหาวิทยาลัย 1/2556</t>
  </si>
  <si>
    <t>รวมทั้งสิ้น</t>
  </si>
  <si>
    <t>สาเหตุการพ้นสภาพนิสิตตามข้อบังคับของมหาวิทยาลัย 2/2556</t>
  </si>
  <si>
    <t xml:space="preserve"> -</t>
  </si>
  <si>
    <t>37.4.10</t>
  </si>
  <si>
    <t xml:space="preserve"> ข้อบังคับมหาวิทยาลัยมหาสารคาม ว่าด้วยการศึกษาระดับปริญญาตรี พ.ศ. 2547</t>
  </si>
  <si>
    <t>ไม่ลงทะเบียนเรียนในภาคการศึกษาแรกที่ขึ้นทะเบียนเป็นนิสิต</t>
  </si>
  <si>
    <t xml:space="preserve">เมื่อพ้นก าหนดเวลาหนึ่งภาคการศึกษาแล้วไม่ช าระค่าบำรุง และค่าธรรมเนียมการศึกษาต่างๆ ตามที่มหาวิทยาลัยกำหนดเพื่อรักษาสภาพนิสิต </t>
  </si>
  <si>
    <t xml:space="preserve">ขาดคุณวุฒิหรือคุณสมบัติตามข้อ 11 อย่างใดอย่างหนึ่ง </t>
  </si>
  <si>
    <t>เมื่อเรียนครบ 2 ภาคการศึกษา มีค่าระดับขั้นเฉลี่ยสะสมต่ ากว่า 1.6</t>
  </si>
  <si>
    <t xml:space="preserve">เป็นนิสิตสภาพรอพินิจที่มีค่าระดับขั้นเฉลี่ยสะสมต่ ากว่า 1.75 เป็นเวลาสองภาคการศึกษา ที่มีการจำแนกสภาพต่อเนื่องกัน </t>
  </si>
  <si>
    <t xml:space="preserve">เป็นนิสิตสภาพรอพินิจครบ 4 ภาคการศึกษาต่อเนื่องกัน ที่มีค่าระดับขั้นเฉลี่ยสะสมต่ ากว่า 2.00 </t>
  </si>
  <si>
    <t xml:space="preserve">ไม่สำเร็จการศึกษาตามหลักสูตรภายในระยะเวลาที่ก าหนดตามข้อ 10 </t>
  </si>
  <si>
    <t xml:space="preserve">ต้องโทษโดยค าพิพากษาถึงที่สุดให้จ าคุกเว้นแต่ความผิดลหุโทษ หรือความผิดที่ได้กระท าโดยประมาท </t>
  </si>
  <si>
    <t xml:space="preserve">กระทำการทุจริตหรือมีความประพฤติอันเป็นการเสื่อมเสีย </t>
  </si>
  <si>
    <t xml:space="preserve"> แก่มหาวิทยาลัยและมหาวิทยาลัยเห็นสมควรให้ออกตามข้อบังคับของมหาวิทยาลัยมหาสารคาม ว่าด้วยวินัยนิสิต</t>
  </si>
  <si>
    <t xml:space="preserve"> ข้อบังคับมหาวิทยาลัยมหาสารคาม ว่าด้วยการศึกษาระดับบัณฑิต พ.ศ. 2548</t>
  </si>
  <si>
    <t>ไม่ลงทะเบียนเรียนในภาคแรกที่ขึ้นทะเบียนนิสิต  ตามข้อ  23.3</t>
  </si>
  <si>
    <t>ไม่ชำระเงินเพื่อรักษาสภาพนิสิต  ตามข้อ  29.2</t>
  </si>
  <si>
    <t>ไม่ลงทะเบียนเรียนอย่างสมบูรณ์ในภาคการศึกษาใดภาคการศึกษาหนึ่ง</t>
  </si>
  <si>
    <t>ขาดคุณวุฒิและคุณสมบัติตามข้อ 17 อย่างใดอย่างหนึ่ง</t>
  </si>
  <si>
    <t>เมือผลการศึกามีค่าระดับขั้นเฉลี่ยสะสมต่ำกว่า 3.00 ติดต่อกันเกินสองภาคการศึกษา</t>
  </si>
  <si>
    <t>สอบประมวลความรู้  3  ครั้ง  แล้วไม่ผ่าน</t>
  </si>
  <si>
    <t>เป็นนิสิตตามข้อ  20.2  มีค่าระดับขั้นเฉลี่ยสะสมต่ำกว่า  3.00</t>
  </si>
  <si>
    <t xml:space="preserve"> ไม่สำเร็จการศึกษาตามหลักสูตรภายในระยะเวลา  ตามข้อ  16</t>
  </si>
  <si>
    <t>สอบวิทยานิพนธ์หรือสอบการศึกษาค้นคว้าอิสระหรือการศึกษาปัญหาพิเศษครั้งที่ 2 ไม่ผ่าน</t>
  </si>
  <si>
    <t>จ้างหรือวานให้ผู้อื่นทำวิทยานิพนธ์ หรือค้นคว้าอิสระหรือการศึกษาปัญหาพิเศษ</t>
  </si>
  <si>
    <t>37.4.11</t>
  </si>
  <si>
    <t>รับจ้างทำวิทยานิพนธ์ หรือการศึกษาค้นคว้าอิสระ หรือการศึกษาปัญหาพิเศษ</t>
  </si>
  <si>
    <t>มีความประพฤติเสื่อมเสียอย่างร้ายแรงขณะที่เป็นนิสิต</t>
  </si>
  <si>
    <t>วิทยาเขต/คณะ/สาขาวิชา</t>
  </si>
  <si>
    <t>นิสิตปัจจุบัน สภาพสมบูรณ์</t>
  </si>
  <si>
    <t>สาเหตุการพ้นจากสภาพนิสิต  ตามข้อบังคับมหาวิทยาลัยมหาสารคาม</t>
  </si>
  <si>
    <t>รวมทั้งหมด</t>
  </si>
  <si>
    <t xml:space="preserve">ข้อ 37.4.3  </t>
  </si>
  <si>
    <t>ชั้นปี 1</t>
  </si>
  <si>
    <t>ชั้นปี 2</t>
  </si>
  <si>
    <t>ชั้นปี 3</t>
  </si>
  <si>
    <t>ชั้นปี 4</t>
  </si>
  <si>
    <t>ชั้นปี 5</t>
  </si>
  <si>
    <t>ชั้นปี 6</t>
  </si>
  <si>
    <t>ชั้นปี 9</t>
  </si>
  <si>
    <t>รวม</t>
  </si>
  <si>
    <t>ชั้นปี 7</t>
  </si>
  <si>
    <t>คณะการท่องเที่ยวและการโรงแรม ผลรวม</t>
  </si>
  <si>
    <t>คณะการบัญชีและการจัดการ</t>
  </si>
  <si>
    <t>การจัดการ</t>
  </si>
  <si>
    <t>คณะการบัญชีและการจัดการ ผลรวม</t>
  </si>
  <si>
    <t>คณะเทคโนโลยี ผลรวม</t>
  </si>
  <si>
    <t>คณะแพทยศาสตร์ ผลรวม</t>
  </si>
  <si>
    <t>คณะมนุษยศาสตร์และสังคมศาสตร์ ผลรวม</t>
  </si>
  <si>
    <t>คณะวัฒนธรรมศาสตร์ ผลรวม</t>
  </si>
  <si>
    <t>คณะวิทยาการสารสนเทศ</t>
  </si>
  <si>
    <t>คณะวิทยาการสารสนเทศ ผลรวม</t>
  </si>
  <si>
    <t>คณะวิทยาศาสตร์ ผลรวม</t>
  </si>
  <si>
    <t>คณะวิศวกรรมศาสตร์</t>
  </si>
  <si>
    <t>วิศวกรรมเครื่องกล</t>
  </si>
  <si>
    <t>วิศวกรรมโยธา</t>
  </si>
  <si>
    <t>คณะวิศวกรรมศาสตร์ ผลรวม</t>
  </si>
  <si>
    <t>คณะศิลปกรรมศาสตร์ ผลรวม</t>
  </si>
  <si>
    <t>คณะศึกษาศาสตร์ ผลรวม</t>
  </si>
  <si>
    <t>คณะสาธารณสุขศาสตร์</t>
  </si>
  <si>
    <t>คณะสาธารณสุขศาสตร์ ผลรวม</t>
  </si>
  <si>
    <t>คณะสิ่งแวดล้อมและทรัพยากรศาสตร์ ผลรวม</t>
  </si>
  <si>
    <t>วิทยาลัยดุริยางคศิลป์ ผลรวม</t>
  </si>
  <si>
    <t>สถาบันวิจัยวลัยรุกขเวช ผลรวม</t>
  </si>
  <si>
    <t>ผลรวมทั้งหมด</t>
  </si>
  <si>
    <t xml:space="preserve">จำนวนนิสิตจำแนกตามสถานภาพนิสิต  ปีการศึกษา 2556 ระดับปริญญาเอก  ระบบในเวลาราชการ  </t>
  </si>
  <si>
    <t>ข้อ 37.4.1</t>
  </si>
  <si>
    <t>ข้อ 37.4.4</t>
  </si>
  <si>
    <t>ข้อ 37.4.5</t>
  </si>
  <si>
    <t>ข้อ 37.4.8</t>
  </si>
  <si>
    <t>คณะพยาบาลศาสตร์ ผลรวม</t>
  </si>
  <si>
    <t>คณะเภสัชศาสตร์ ผลรวม</t>
  </si>
  <si>
    <t>เทคโนโลยีสารสนเทศ</t>
  </si>
  <si>
    <t>สื่อนฤมิต</t>
  </si>
  <si>
    <t>คณะสถาปัตยกรรมศาสตร์ ผังเมืองและนฤมิตศิลป์ ผลรวม</t>
  </si>
  <si>
    <t>วิทยาลัยการเมืองการปกครอง ผลรวม</t>
  </si>
  <si>
    <t>คณะสัตวแพทยศาสตร์ ผลรวม</t>
  </si>
  <si>
    <t>จำนวนนิสิตจำแนกตามสถานภาพนิสิต  ปีการศึกษา 2556 ระดับปริญญาโท ระบบในเวลาราชการ</t>
  </si>
  <si>
    <t>จำนวนนิสิตจำแนกตามสถานภาพนิสิต  ปีการศึกษา 2556 ระดับปริญญาโท ระบบนอกเวลาราชการ</t>
  </si>
  <si>
    <t>จำนวนนิสิตจำแนกตามสถานภาพนิสิต ภาคปลาย ปีการศึกษา 2556 ระดับปริญญาตรี ระบบปกติ</t>
  </si>
  <si>
    <t>สาเหตุการพ้นจากสภาพนิสิต  ตามข้อบังคับมหาวิทยาลัยมหาสารคาม ว่าด้วยการศึกษาระดับปริญญาตรี  พ.ศ.  2547</t>
  </si>
  <si>
    <t xml:space="preserve">20.3.2 </t>
  </si>
  <si>
    <t>ชั้นปี 8</t>
  </si>
  <si>
    <t>ชั้นปี 10</t>
  </si>
  <si>
    <t>มหาสารคาม</t>
  </si>
  <si>
    <t>การตลาด</t>
  </si>
  <si>
    <t>คอมพิวเตอร์ธุรกิจ</t>
  </si>
  <si>
    <t>บัญชีบัณฑิต</t>
  </si>
  <si>
    <t>คณะนิติศาสตร์</t>
  </si>
  <si>
    <t>คณะนิติศาสตร์ ผลรวม</t>
  </si>
  <si>
    <t>เทคโนโลยีสารสนเทศและการสื่อสาร</t>
  </si>
  <si>
    <t>วิศวกรรมการผลิต</t>
  </si>
  <si>
    <t>วิศวกรรมไฟฟ้า</t>
  </si>
  <si>
    <t>วิศวกรรมเมคาทรอนิกส์</t>
  </si>
  <si>
    <t>สาธารณสุขศาสตรบัณฑิต</t>
  </si>
  <si>
    <t>มหาสารคาม ผลรวม</t>
  </si>
  <si>
    <r>
      <t>ข้อมูล ณ วันที่ 21 กรกฎาคม 2557</t>
    </r>
    <r>
      <rPr>
        <sz val="14"/>
        <color theme="0"/>
        <rFont val="TH SarabunPSK"/>
        <family val="2"/>
      </rPr>
      <t>...</t>
    </r>
  </si>
  <si>
    <r>
      <t>ผู้ให้ข้อมูล  กองทะเบียนและประมวลผล  มหาวิทยาลัยมหาสารคาม</t>
    </r>
    <r>
      <rPr>
        <sz val="14"/>
        <color theme="0"/>
        <rFont val="TH SarabunPSK"/>
        <family val="2"/>
      </rPr>
      <t>....</t>
    </r>
  </si>
  <si>
    <t>จำนวนนิสิตจำแนกตามสถานภาพนิสิต ภาคปลาย ปีการศึกษา 2556 ระดับปริญญาตรี ระบบพิเศษ</t>
  </si>
  <si>
    <t>อุดรธานี</t>
  </si>
  <si>
    <t>อุดรธานี ผลรวม</t>
  </si>
  <si>
    <t>นครราชสีมา อำเภอเมือง</t>
  </si>
  <si>
    <t>นครราชสีมา อำเภอเมือง ผลรวม</t>
  </si>
  <si>
    <t>อุบลราชธานี</t>
  </si>
  <si>
    <t>อุบลราชธานี ผลรวม</t>
  </si>
  <si>
    <t>จำนวนนิสิตจำแนกตามสถานภาพนิสิต ภาคปลาย ปีการศึกษา 2556 ระดับปริญญาตรีเทียบเข้า ระบบพิเศษ</t>
  </si>
  <si>
    <r>
      <t xml:space="preserve">ตาราง 1  </t>
    </r>
    <r>
      <rPr>
        <sz val="14"/>
        <rFont val="TH SarabunPSK"/>
        <family val="2"/>
      </rPr>
      <t xml:space="preserve"> จำนวนและร้อยละของนิสิตพ้นสภาพ มหาวิทยาลัยมหาสารคาม ในช่วงปีการศึกษา 2551 - 2556</t>
    </r>
  </si>
  <si>
    <t>ปีการศึกษา</t>
  </si>
  <si>
    <t>จำนวนนิสิต</t>
  </si>
  <si>
    <t>ป.บัณฑิต</t>
  </si>
  <si>
    <t>ปริญญาตรี</t>
  </si>
  <si>
    <t>ปริญญาโท</t>
  </si>
  <si>
    <t>ปริญญาเอก</t>
  </si>
  <si>
    <t>ประกาศนียบัตร</t>
  </si>
  <si>
    <t xml:space="preserve"> 2/2556</t>
  </si>
  <si>
    <t xml:space="preserve"> 1/2556</t>
  </si>
  <si>
    <t>หมายเหตุ :</t>
  </si>
  <si>
    <t>ศึกษาเฉพาะผู้ที่พ้นสภาพการเป็นนิสิตตามสาเหตุที่ปรากฏในข้อบังคับมหาวิทยาลัย ยกเว้นกรณีที่นิสิตพ้นสภาพจากสาเหตุ</t>
  </si>
  <si>
    <t>การสำเร็จการศึกษา  เสียชีวิต ได้รับอนุมัติจากมหาวิทยาลัยให้ลาออกหรือโอนไปยังสถาบันอุดมศึกษาอื่น และกรณีนิสิต</t>
  </si>
  <si>
    <t>ที่ไม่มารายงานตัวในภาคการศึกษาแรก (ระดับปริญญาตรี 20.3.1 และระดับบัณฑิตศึกษา 37.4.1) ข้อบังคับ</t>
  </si>
  <si>
    <t>มหาวิทยาลัยมหาสารคาม รายละเอียด หน้า 38</t>
  </si>
  <si>
    <r>
      <t xml:space="preserve">ตาราง 1  </t>
    </r>
    <r>
      <rPr>
        <sz val="14"/>
        <rFont val="TH SarabunPSK"/>
        <family val="2"/>
      </rPr>
      <t xml:space="preserve"> จำนวนและร้อยละของนิสิตพ้นสภาพ มหาวิทยาลัยมหาสารคาม ในช่วงปีการศึกษา 2556จำแนกตามระดับการศึกษา และสาเหตุการพ้นสภาพนิสิต</t>
    </r>
  </si>
  <si>
    <t>รวม 2556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</si>
</sst>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40" x14ac:knownFonts="1">
    <font>
      <sz val="16"/>
      <color theme="1"/>
      <name val="TH SarabunPSK"/>
      <family val="2"/>
      <charset val="222"/>
    </font>
    <font>
      <sz val="14"/>
      <name val="Cordia New"/>
      <family val="2"/>
    </font>
    <font>
      <b/>
      <sz val="14"/>
      <name val="TH SarabunPSK"/>
      <family val="2"/>
    </font>
    <font>
      <b/>
      <sz val="11"/>
      <name val="TH SarabunPSK"/>
      <family val="2"/>
    </font>
    <font>
      <sz val="16"/>
      <color theme="1"/>
      <name val="TH SarabunPSK"/>
      <family val="2"/>
      <charset val="222"/>
    </font>
    <font>
      <b/>
      <sz val="12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  <charset val="222"/>
    </font>
    <font>
      <sz val="14"/>
      <name val="FreesiaUPC"/>
      <family val="2"/>
      <charset val="22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rgb="FF0070C0"/>
      <name val="TH SarabunPSK"/>
      <family val="2"/>
    </font>
    <font>
      <b/>
      <sz val="14"/>
      <color rgb="FF0070C0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  <charset val="222"/>
    </font>
    <font>
      <sz val="14"/>
      <color theme="1"/>
      <name val="TH SarabunPSK"/>
      <family val="2"/>
      <charset val="222"/>
    </font>
    <font>
      <b/>
      <sz val="20"/>
      <color theme="1"/>
      <name val="TH SarabunPSK"/>
      <family val="2"/>
      <charset val="222"/>
    </font>
    <font>
      <sz val="14"/>
      <color theme="0"/>
      <name val="TH SarabunPSK"/>
      <family val="2"/>
    </font>
    <font>
      <b/>
      <sz val="22"/>
      <color theme="1"/>
      <name val="TH SarabunPSK"/>
      <family val="2"/>
    </font>
    <font>
      <sz val="11"/>
      <name val="TH SarabunPSK"/>
      <family val="2"/>
    </font>
    <font>
      <sz val="11"/>
      <name val="FreesiaUPC"/>
      <family val="2"/>
      <charset val="222"/>
    </font>
    <font>
      <sz val="8"/>
      <name val="TH SarabunPSK"/>
      <family val="2"/>
    </font>
    <font>
      <b/>
      <sz val="10"/>
      <name val="TH SarabunPSK"/>
      <family val="2"/>
    </font>
    <font>
      <b/>
      <sz val="9"/>
      <name val="TH SarabunPSK"/>
      <family val="2"/>
    </font>
    <font>
      <b/>
      <sz val="11"/>
      <color rgb="FFFF0000"/>
      <name val="TH SarabunPSK"/>
      <family val="2"/>
    </font>
    <font>
      <sz val="11"/>
      <color rgb="FFFF0000"/>
      <name val="TH SarabunPSK"/>
      <family val="2"/>
    </font>
    <font>
      <sz val="8"/>
      <name val="FreesiaUPC"/>
      <family val="2"/>
      <charset val="222"/>
    </font>
    <font>
      <b/>
      <sz val="12"/>
      <name val="FreesiaUPC"/>
      <family val="2"/>
      <charset val="222"/>
    </font>
    <font>
      <sz val="12"/>
      <name val="FreesiaUPC"/>
      <family val="2"/>
      <charset val="222"/>
    </font>
    <font>
      <sz val="12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TH SarabunPSK"/>
      <family val="2"/>
      <charset val="222"/>
    </font>
    <font>
      <sz val="18"/>
      <color theme="1"/>
      <name val="TH SarabunPSK"/>
      <family val="2"/>
    </font>
    <font>
      <sz val="18"/>
      <color theme="1"/>
      <name val="TH SarabunPSK"/>
      <family val="2"/>
      <charset val="222"/>
    </font>
    <font>
      <sz val="18"/>
      <name val="Cordia New"/>
      <family val="2"/>
    </font>
    <font>
      <sz val="18"/>
      <name val="FreesiaUPC"/>
      <family val="2"/>
      <charset val="22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69696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3" tint="0.39994506668294322"/>
      </left>
      <right style="thin">
        <color theme="3" tint="0.39991454817346722"/>
      </right>
      <top style="thin">
        <color theme="3" tint="0.39994506668294322"/>
      </top>
      <bottom style="thin">
        <color theme="3" tint="0.399914548173467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4506668294322"/>
      </top>
      <bottom style="thin">
        <color theme="3" tint="0.39991454817346722"/>
      </bottom>
      <diagonal/>
    </border>
    <border>
      <left style="thin">
        <color theme="3" tint="0.39991454817346722"/>
      </left>
      <right style="thin">
        <color theme="3" tint="0.39994506668294322"/>
      </right>
      <top style="thin">
        <color theme="3" tint="0.39994506668294322"/>
      </top>
      <bottom style="thin">
        <color theme="3" tint="0.39991454817346722"/>
      </bottom>
      <diagonal/>
    </border>
    <border>
      <left style="thin">
        <color theme="3" tint="0.399945066682943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1454817346722"/>
      </left>
      <right style="thin">
        <color theme="3" tint="0.39994506668294322"/>
      </right>
      <top style="thin">
        <color theme="3" tint="0.39991454817346722"/>
      </top>
      <bottom style="thin">
        <color theme="3" tint="0.399914548173467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0" tint="-0.24994659260841701"/>
      </right>
      <top style="thin">
        <color theme="3" tint="0.399945066682943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3" tint="0.39994506668294322"/>
      </top>
      <bottom style="thin">
        <color theme="0" tint="-0.24994659260841701"/>
      </bottom>
      <diagonal/>
    </border>
    <border>
      <left style="thin">
        <color theme="3" tint="0.399945066682943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/>
      <bottom style="thin">
        <color theme="3" tint="0.39991454817346722"/>
      </bottom>
      <diagonal/>
    </border>
    <border>
      <left style="thin">
        <color theme="3" tint="0.39988402966399123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1454817346722"/>
      </left>
      <right/>
      <top style="thin">
        <color theme="3" tint="0.39991454817346722"/>
      </top>
      <bottom style="thin">
        <color theme="3" tint="0.39991454817346722"/>
      </bottom>
      <diagonal/>
    </border>
    <border>
      <left/>
      <right/>
      <top style="thin">
        <color theme="3" tint="0.39991454817346722"/>
      </top>
      <bottom style="thin">
        <color theme="3" tint="0.39991454817346722"/>
      </bottom>
      <diagonal/>
    </border>
    <border>
      <left/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1454817346722"/>
      </left>
      <right style="thin">
        <color theme="3" tint="0.39988402966399123"/>
      </right>
      <top style="thin">
        <color theme="3" tint="0.39991454817346722"/>
      </top>
      <bottom/>
      <diagonal/>
    </border>
    <border>
      <left style="thin">
        <color theme="3" tint="0.39991454817346722"/>
      </left>
      <right style="thin">
        <color theme="3" tint="0.39988402966399123"/>
      </right>
      <top/>
      <bottom/>
      <diagonal/>
    </border>
    <border>
      <left style="thin">
        <color theme="3" tint="0.39991454817346722"/>
      </left>
      <right style="thin">
        <color theme="3" tint="0.39988402966399123"/>
      </right>
      <top/>
      <bottom style="thin">
        <color theme="3" tint="0.39991454817346722"/>
      </bottom>
      <diagonal/>
    </border>
    <border>
      <left style="thin">
        <color theme="3" tint="0.39988402966399123"/>
      </left>
      <right/>
      <top/>
      <bottom/>
      <diagonal/>
    </border>
    <border>
      <left/>
      <right style="thin">
        <color theme="3" tint="0.39988402966399123"/>
      </right>
      <top/>
      <bottom/>
      <diagonal/>
    </border>
    <border>
      <left style="thin">
        <color theme="3" tint="0.39988402966399123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88402966399123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0" tint="-0.24994659260841701"/>
      </left>
      <right style="thin">
        <color theme="3" tint="0.39988402966399123"/>
      </right>
      <top style="thin">
        <color theme="3" tint="0.399945066682943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3" tint="0.3998840296639912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3" tint="0.39994506668294322"/>
      </left>
      <right style="thin">
        <color theme="0" tint="-0.24994659260841701"/>
      </right>
      <top style="thin">
        <color theme="0" tint="-0.24994659260841701"/>
      </top>
      <bottom style="thin">
        <color theme="3" tint="0.399945066682943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3" tint="0.39994506668294322"/>
      </bottom>
      <diagonal/>
    </border>
    <border>
      <left style="thin">
        <color theme="0" tint="-0.24994659260841701"/>
      </left>
      <right style="thin">
        <color theme="3" tint="0.39988402966399123"/>
      </right>
      <top style="thin">
        <color theme="0" tint="-0.24994659260841701"/>
      </top>
      <bottom style="thin">
        <color theme="3" tint="0.39994506668294322"/>
      </bottom>
      <diagonal/>
    </border>
    <border>
      <left style="thin">
        <color theme="3" tint="0.39988402966399123"/>
      </left>
      <right style="thin">
        <color theme="3" tint="0.39991454817346722"/>
      </right>
      <top style="thin">
        <color theme="3" tint="0.39994506668294322"/>
      </top>
      <bottom style="thin">
        <color theme="3" tint="0.39991454817346722"/>
      </bottom>
      <diagonal/>
    </border>
    <border>
      <left style="thin">
        <color theme="3" tint="0.39991454817346722"/>
      </left>
      <right style="thin">
        <color theme="3" tint="0.39988402966399123"/>
      </right>
      <top style="thin">
        <color theme="3" tint="0.39994506668294322"/>
      </top>
      <bottom style="thin">
        <color theme="3" tint="0.39991454817346722"/>
      </bottom>
      <diagonal/>
    </border>
    <border>
      <left style="thin">
        <color theme="3" tint="0.39988402966399123"/>
      </left>
      <right/>
      <top/>
      <bottom style="thin">
        <color theme="3" tint="0.39994506668294322"/>
      </bottom>
      <diagonal/>
    </border>
    <border>
      <left/>
      <right style="thin">
        <color theme="3" tint="0.39988402966399123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0" tint="-0.24994659260841701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0" tint="-0.24994659260841701"/>
      </left>
      <right style="thin">
        <color theme="3" tint="0.39988402966399123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3" tint="0.39988402966399123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91454817346722"/>
      </top>
      <bottom style="thin">
        <color theme="3" tint="0.399884029663991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 style="thin">
        <color indexed="64"/>
      </right>
      <top/>
      <bottom style="hair">
        <color theme="0" tint="-0.24994659260841701"/>
      </bottom>
      <diagonal/>
    </border>
    <border>
      <left style="thin">
        <color theme="3" tint="0.39988402966399123"/>
      </left>
      <right style="thin">
        <color theme="3" tint="0.39985351115451523"/>
      </right>
      <top style="hair">
        <color theme="3" tint="0.39985351115451523"/>
      </top>
      <bottom style="hair">
        <color theme="3" tint="0.39985351115451523"/>
      </bottom>
      <diagonal/>
    </border>
    <border>
      <left style="thin">
        <color theme="3" tint="0.39985351115451523"/>
      </left>
      <right style="thin">
        <color theme="3" tint="0.39985351115451523"/>
      </right>
      <top style="hair">
        <color theme="3" tint="0.39985351115451523"/>
      </top>
      <bottom style="hair">
        <color theme="3" tint="0.39985351115451523"/>
      </bottom>
      <diagonal/>
    </border>
    <border>
      <left style="thin">
        <color theme="3" tint="0.39985351115451523"/>
      </left>
      <right style="thin">
        <color theme="3" tint="0.39988402966399123"/>
      </right>
      <top style="hair">
        <color theme="3" tint="0.39985351115451523"/>
      </top>
      <bottom style="hair">
        <color theme="3" tint="0.39985351115451523"/>
      </bottom>
      <diagonal/>
    </border>
    <border>
      <left style="thin">
        <color theme="3" tint="0.39988402966399123"/>
      </left>
      <right style="thin">
        <color theme="3" tint="0.39985351115451523"/>
      </right>
      <top style="hair">
        <color theme="3" tint="0.39985351115451523"/>
      </top>
      <bottom style="thin">
        <color theme="3" tint="0.39988402966399123"/>
      </bottom>
      <diagonal/>
    </border>
    <border>
      <left style="thin">
        <color theme="3" tint="0.39985351115451523"/>
      </left>
      <right style="thin">
        <color theme="3" tint="0.39985351115451523"/>
      </right>
      <top style="hair">
        <color theme="3" tint="0.39985351115451523"/>
      </top>
      <bottom style="thin">
        <color theme="3" tint="0.39988402966399123"/>
      </bottom>
      <diagonal/>
    </border>
    <border>
      <left style="thin">
        <color theme="3" tint="0.39985351115451523"/>
      </left>
      <right style="thin">
        <color theme="3" tint="0.39988402966399123"/>
      </right>
      <top style="hair">
        <color theme="3" tint="0.39985351115451523"/>
      </top>
      <bottom style="thin">
        <color theme="3" tint="0.39988402966399123"/>
      </bottom>
      <diagonal/>
    </border>
    <border>
      <left style="thin">
        <color theme="3" tint="0.39988402966399123"/>
      </left>
      <right style="thin">
        <color theme="3" tint="0.39985351115451523"/>
      </right>
      <top/>
      <bottom style="hair">
        <color theme="3" tint="0.39985351115451523"/>
      </bottom>
      <diagonal/>
    </border>
    <border>
      <left style="thin">
        <color theme="3" tint="0.39985351115451523"/>
      </left>
      <right style="thin">
        <color theme="3" tint="0.39985351115451523"/>
      </right>
      <top/>
      <bottom style="hair">
        <color theme="3" tint="0.39985351115451523"/>
      </bottom>
      <diagonal/>
    </border>
    <border>
      <left style="thin">
        <color theme="3" tint="0.39985351115451523"/>
      </left>
      <right style="thin">
        <color theme="3" tint="0.39988402966399123"/>
      </right>
      <top/>
      <bottom style="hair">
        <color theme="3" tint="0.39985351115451523"/>
      </bottom>
      <diagonal/>
    </border>
    <border>
      <left style="thin">
        <color theme="3" tint="0.39991454817346722"/>
      </left>
      <right style="thin">
        <color theme="3" tint="0.39991454817346722"/>
      </right>
      <top style="hair">
        <color theme="3" tint="0.39988402966399123"/>
      </top>
      <bottom style="hair">
        <color theme="3" tint="0.39988402966399123"/>
      </bottom>
      <diagonal/>
    </border>
    <border>
      <left style="thin">
        <color theme="3" tint="0.39991454817346722"/>
      </left>
      <right style="thin">
        <color theme="3" tint="0.39991454817346722"/>
      </right>
      <top style="hair">
        <color theme="3" tint="0.39988402966399123"/>
      </top>
      <bottom style="thin">
        <color theme="3" tint="0.39991454817346722"/>
      </bottom>
      <diagonal/>
    </border>
    <border>
      <left style="thin">
        <color theme="3" tint="0.39991454817346722"/>
      </left>
      <right style="thin">
        <color theme="3" tint="0.39991454817346722"/>
      </right>
      <top/>
      <bottom style="hair">
        <color theme="3" tint="0.39988402966399123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424">
    <xf numFmtId="0" fontId="0" fillId="0" borderId="0" xfId="0"/>
    <xf numFmtId="0" fontId="2" fillId="0" borderId="0" xfId="2" applyFont="1" applyAlignment="1">
      <alignment horizontal="left"/>
    </xf>
    <xf numFmtId="0" fontId="6" fillId="0" borderId="15" xfId="2" applyFont="1" applyFill="1" applyBorder="1"/>
    <xf numFmtId="187" fontId="6" fillId="0" borderId="16" xfId="1" applyNumberFormat="1" applyFont="1" applyFill="1" applyBorder="1" applyAlignment="1">
      <alignment horizontal="center"/>
    </xf>
    <xf numFmtId="187" fontId="6" fillId="0" borderId="15" xfId="1" applyNumberFormat="1" applyFont="1" applyFill="1" applyBorder="1" applyAlignment="1">
      <alignment horizontal="center"/>
    </xf>
    <xf numFmtId="0" fontId="2" fillId="3" borderId="2" xfId="2" applyFont="1" applyFill="1" applyBorder="1" applyAlignment="1">
      <alignment horizontal="center"/>
    </xf>
    <xf numFmtId="0" fontId="2" fillId="3" borderId="4" xfId="2" applyFont="1" applyFill="1" applyBorder="1" applyAlignment="1">
      <alignment horizontal="center"/>
    </xf>
    <xf numFmtId="187" fontId="2" fillId="3" borderId="4" xfId="1" applyNumberFormat="1" applyFont="1" applyFill="1" applyBorder="1" applyAlignment="1">
      <alignment horizontal="center"/>
    </xf>
    <xf numFmtId="187" fontId="2" fillId="3" borderId="5" xfId="1" applyNumberFormat="1" applyFont="1" applyFill="1" applyBorder="1" applyAlignment="1">
      <alignment horizontal="center"/>
    </xf>
    <xf numFmtId="43" fontId="2" fillId="3" borderId="5" xfId="1" applyFont="1" applyFill="1" applyBorder="1" applyAlignment="1">
      <alignment horizontal="center"/>
    </xf>
    <xf numFmtId="0" fontId="2" fillId="3" borderId="7" xfId="2" applyFont="1" applyFill="1" applyBorder="1" applyAlignment="1">
      <alignment horizontal="center"/>
    </xf>
    <xf numFmtId="0" fontId="2" fillId="3" borderId="8" xfId="2" applyFont="1" applyFill="1" applyBorder="1" applyAlignment="1">
      <alignment horizontal="center"/>
    </xf>
    <xf numFmtId="187" fontId="2" fillId="3" borderId="8" xfId="1" applyNumberFormat="1" applyFont="1" applyFill="1" applyBorder="1" applyAlignment="1">
      <alignment horizontal="center"/>
    </xf>
    <xf numFmtId="187" fontId="2" fillId="3" borderId="9" xfId="1" applyNumberFormat="1" applyFont="1" applyFill="1" applyBorder="1" applyAlignment="1">
      <alignment horizontal="center"/>
    </xf>
    <xf numFmtId="43" fontId="2" fillId="3" borderId="9" xfId="1" applyFont="1" applyFill="1" applyBorder="1" applyAlignment="1">
      <alignment horizontal="center"/>
    </xf>
    <xf numFmtId="187" fontId="2" fillId="3" borderId="12" xfId="1" applyNumberFormat="1" applyFont="1" applyFill="1" applyBorder="1" applyAlignment="1">
      <alignment horizontal="center"/>
    </xf>
    <xf numFmtId="0" fontId="2" fillId="3" borderId="10" xfId="2" applyFont="1" applyFill="1" applyBorder="1" applyAlignment="1">
      <alignment horizontal="center"/>
    </xf>
    <xf numFmtId="0" fontId="2" fillId="3" borderId="11" xfId="2" applyFont="1" applyFill="1" applyBorder="1" applyAlignment="1">
      <alignment horizontal="center"/>
    </xf>
    <xf numFmtId="187" fontId="2" fillId="3" borderId="11" xfId="1" applyNumberFormat="1" applyFont="1" applyFill="1" applyBorder="1" applyAlignment="1">
      <alignment horizontal="center"/>
    </xf>
    <xf numFmtId="43" fontId="2" fillId="3" borderId="12" xfId="1" applyFont="1" applyFill="1" applyBorder="1" applyAlignment="1">
      <alignment horizontal="center"/>
    </xf>
    <xf numFmtId="187" fontId="2" fillId="3" borderId="6" xfId="1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/>
    </xf>
    <xf numFmtId="0" fontId="2" fillId="0" borderId="15" xfId="2" applyFont="1" applyFill="1" applyBorder="1"/>
    <xf numFmtId="43" fontId="9" fillId="0" borderId="13" xfId="1" applyFont="1" applyFill="1" applyBorder="1" applyAlignment="1">
      <alignment horizontal="center"/>
    </xf>
    <xf numFmtId="43" fontId="2" fillId="0" borderId="15" xfId="1" applyFont="1" applyFill="1" applyBorder="1" applyAlignment="1">
      <alignment horizontal="center"/>
    </xf>
    <xf numFmtId="0" fontId="6" fillId="0" borderId="16" xfId="2" applyFont="1" applyFill="1" applyBorder="1" applyAlignment="1">
      <alignment horizontal="center"/>
    </xf>
    <xf numFmtId="0" fontId="2" fillId="0" borderId="16" xfId="2" applyFont="1" applyFill="1" applyBorder="1"/>
    <xf numFmtId="43" fontId="9" fillId="0" borderId="9" xfId="1" applyFont="1" applyFill="1" applyBorder="1" applyAlignment="1">
      <alignment horizontal="center"/>
    </xf>
    <xf numFmtId="43" fontId="2" fillId="0" borderId="16" xfId="1" applyFont="1" applyFill="1" applyBorder="1" applyAlignment="1">
      <alignment horizontal="center"/>
    </xf>
    <xf numFmtId="0" fontId="2" fillId="3" borderId="6" xfId="2" applyFont="1" applyFill="1" applyBorder="1" applyAlignment="1">
      <alignment horizontal="center"/>
    </xf>
    <xf numFmtId="0" fontId="2" fillId="3" borderId="6" xfId="2" applyFont="1" applyFill="1" applyBorder="1"/>
    <xf numFmtId="43" fontId="9" fillId="3" borderId="6" xfId="1" applyFont="1" applyFill="1" applyBorder="1" applyAlignment="1">
      <alignment horizontal="center"/>
    </xf>
    <xf numFmtId="0" fontId="6" fillId="0" borderId="13" xfId="2" applyFont="1" applyFill="1" applyBorder="1" applyAlignment="1">
      <alignment horizontal="center"/>
    </xf>
    <xf numFmtId="0" fontId="9" fillId="0" borderId="13" xfId="2" applyFont="1" applyFill="1" applyBorder="1"/>
    <xf numFmtId="187" fontId="10" fillId="0" borderId="13" xfId="1" applyNumberFormat="1" applyFont="1" applyFill="1" applyBorder="1" applyAlignment="1">
      <alignment horizontal="center"/>
    </xf>
    <xf numFmtId="187" fontId="11" fillId="0" borderId="13" xfId="1" applyNumberFormat="1" applyFont="1" applyFill="1" applyBorder="1" applyAlignment="1">
      <alignment horizontal="center"/>
    </xf>
    <xf numFmtId="43" fontId="12" fillId="0" borderId="13" xfId="1" applyFont="1" applyFill="1" applyBorder="1" applyAlignment="1">
      <alignment horizontal="center"/>
    </xf>
    <xf numFmtId="0" fontId="9" fillId="0" borderId="15" xfId="2" applyFont="1" applyFill="1" applyBorder="1"/>
    <xf numFmtId="187" fontId="11" fillId="0" borderId="15" xfId="1" applyNumberFormat="1" applyFont="1" applyFill="1" applyBorder="1" applyAlignment="1">
      <alignment horizontal="center"/>
    </xf>
    <xf numFmtId="43" fontId="12" fillId="0" borderId="15" xfId="1" applyFont="1" applyFill="1" applyBorder="1" applyAlignment="1">
      <alignment horizontal="center"/>
    </xf>
    <xf numFmtId="0" fontId="9" fillId="0" borderId="16" xfId="2" applyFont="1" applyFill="1" applyBorder="1"/>
    <xf numFmtId="187" fontId="11" fillId="0" borderId="16" xfId="1" applyNumberFormat="1" applyFont="1" applyFill="1" applyBorder="1" applyAlignment="1">
      <alignment horizontal="center"/>
    </xf>
    <xf numFmtId="43" fontId="12" fillId="0" borderId="16" xfId="1" applyFont="1" applyFill="1" applyBorder="1" applyAlignment="1">
      <alignment horizontal="center"/>
    </xf>
    <xf numFmtId="0" fontId="12" fillId="3" borderId="6" xfId="2" applyFont="1" applyFill="1" applyBorder="1"/>
    <xf numFmtId="0" fontId="6" fillId="0" borderId="0" xfId="2" applyFont="1"/>
    <xf numFmtId="0" fontId="6" fillId="0" borderId="0" xfId="2" applyFont="1" applyFill="1"/>
    <xf numFmtId="187" fontId="6" fillId="0" borderId="0" xfId="1" applyNumberFormat="1" applyFont="1" applyFill="1"/>
    <xf numFmtId="43" fontId="6" fillId="0" borderId="0" xfId="1" applyFont="1" applyFill="1"/>
    <xf numFmtId="187" fontId="6" fillId="0" borderId="0" xfId="1" applyNumberFormat="1" applyFont="1" applyFill="1" applyAlignment="1">
      <alignment horizontal="center"/>
    </xf>
    <xf numFmtId="187" fontId="6" fillId="0" borderId="0" xfId="1" applyNumberFormat="1" applyFont="1" applyAlignment="1">
      <alignment horizontal="center"/>
    </xf>
    <xf numFmtId="187" fontId="6" fillId="0" borderId="0" xfId="1" applyNumberFormat="1" applyFont="1" applyFill="1" applyBorder="1" applyAlignment="1">
      <alignment horizontal="center"/>
    </xf>
    <xf numFmtId="187" fontId="6" fillId="0" borderId="0" xfId="1" applyNumberFormat="1" applyFont="1" applyBorder="1" applyAlignment="1">
      <alignment horizontal="center"/>
    </xf>
    <xf numFmtId="0" fontId="6" fillId="0" borderId="0" xfId="2" applyFont="1" applyAlignment="1">
      <alignment horizontal="left" indent="5"/>
    </xf>
    <xf numFmtId="187" fontId="6" fillId="0" borderId="1" xfId="1" applyNumberFormat="1" applyFont="1" applyFill="1" applyBorder="1" applyAlignment="1">
      <alignment horizontal="center"/>
    </xf>
    <xf numFmtId="187" fontId="6" fillId="0" borderId="1" xfId="1" applyNumberFormat="1" applyFont="1" applyBorder="1" applyAlignment="1">
      <alignment horizontal="center"/>
    </xf>
    <xf numFmtId="0" fontId="2" fillId="2" borderId="2" xfId="2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/>
    </xf>
    <xf numFmtId="187" fontId="2" fillId="2" borderId="4" xfId="1" applyNumberFormat="1" applyFont="1" applyFill="1" applyBorder="1" applyAlignment="1">
      <alignment horizontal="center"/>
    </xf>
    <xf numFmtId="187" fontId="2" fillId="2" borderId="5" xfId="1" applyNumberFormat="1" applyFont="1" applyFill="1" applyBorder="1" applyAlignment="1">
      <alignment horizontal="center"/>
    </xf>
    <xf numFmtId="43" fontId="2" fillId="2" borderId="5" xfId="1" applyFont="1" applyFill="1" applyBorder="1" applyAlignment="1">
      <alignment horizontal="center"/>
    </xf>
    <xf numFmtId="0" fontId="2" fillId="2" borderId="7" xfId="2" applyFont="1" applyFill="1" applyBorder="1" applyAlignment="1">
      <alignment horizontal="center"/>
    </xf>
    <xf numFmtId="0" fontId="2" fillId="2" borderId="8" xfId="2" applyFont="1" applyFill="1" applyBorder="1" applyAlignment="1">
      <alignment horizontal="center"/>
    </xf>
    <xf numFmtId="187" fontId="2" fillId="2" borderId="8" xfId="1" applyNumberFormat="1" applyFont="1" applyFill="1" applyBorder="1" applyAlignment="1">
      <alignment horizontal="center"/>
    </xf>
    <xf numFmtId="187" fontId="2" fillId="2" borderId="9" xfId="1" applyNumberFormat="1" applyFont="1" applyFill="1" applyBorder="1" applyAlignment="1">
      <alignment horizontal="center"/>
    </xf>
    <xf numFmtId="43" fontId="2" fillId="2" borderId="9" xfId="1" applyFont="1" applyFill="1" applyBorder="1" applyAlignment="1">
      <alignment horizontal="center"/>
    </xf>
    <xf numFmtId="187" fontId="2" fillId="2" borderId="12" xfId="1" applyNumberFormat="1" applyFont="1" applyFill="1" applyBorder="1" applyAlignment="1">
      <alignment horizontal="center"/>
    </xf>
    <xf numFmtId="0" fontId="2" fillId="2" borderId="10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187" fontId="2" fillId="2" borderId="11" xfId="1" applyNumberFormat="1" applyFont="1" applyFill="1" applyBorder="1" applyAlignment="1">
      <alignment horizontal="center"/>
    </xf>
    <xf numFmtId="43" fontId="2" fillId="2" borderId="12" xfId="1" applyFont="1" applyFill="1" applyBorder="1" applyAlignment="1">
      <alignment horizontal="center"/>
    </xf>
    <xf numFmtId="187" fontId="2" fillId="2" borderId="6" xfId="1" applyNumberFormat="1" applyFont="1" applyFill="1" applyBorder="1" applyAlignment="1">
      <alignment horizontal="center"/>
    </xf>
    <xf numFmtId="0" fontId="2" fillId="4" borderId="20" xfId="2" applyFont="1" applyFill="1" applyBorder="1" applyAlignment="1"/>
    <xf numFmtId="0" fontId="2" fillId="4" borderId="13" xfId="2" applyFont="1" applyFill="1" applyBorder="1" applyAlignment="1"/>
    <xf numFmtId="0" fontId="2" fillId="4" borderId="13" xfId="2" applyFont="1" applyFill="1" applyBorder="1" applyAlignment="1">
      <alignment horizontal="left"/>
    </xf>
    <xf numFmtId="187" fontId="2" fillId="4" borderId="20" xfId="1" applyNumberFormat="1" applyFont="1" applyFill="1" applyBorder="1" applyAlignment="1">
      <alignment horizontal="center"/>
    </xf>
    <xf numFmtId="43" fontId="2" fillId="4" borderId="20" xfId="1" applyFont="1" applyFill="1" applyBorder="1" applyAlignment="1">
      <alignment horizontal="center"/>
    </xf>
    <xf numFmtId="0" fontId="6" fillId="0" borderId="15" xfId="2" applyFont="1" applyBorder="1" applyAlignment="1">
      <alignment horizontal="center"/>
    </xf>
    <xf numFmtId="187" fontId="6" fillId="5" borderId="15" xfId="1" applyNumberFormat="1" applyFont="1" applyFill="1" applyBorder="1" applyAlignment="1">
      <alignment horizontal="center"/>
    </xf>
    <xf numFmtId="43" fontId="6" fillId="5" borderId="15" xfId="1" applyFont="1" applyFill="1" applyBorder="1" applyAlignment="1">
      <alignment horizontal="center"/>
    </xf>
    <xf numFmtId="0" fontId="2" fillId="0" borderId="0" xfId="2" applyFont="1"/>
    <xf numFmtId="0" fontId="12" fillId="0" borderId="15" xfId="2" applyFont="1" applyFill="1" applyBorder="1"/>
    <xf numFmtId="187" fontId="6" fillId="0" borderId="15" xfId="1" applyNumberFormat="1" applyFont="1" applyBorder="1" applyAlignment="1">
      <alignment horizontal="center"/>
    </xf>
    <xf numFmtId="0" fontId="2" fillId="0" borderId="15" xfId="2" applyFont="1" applyBorder="1"/>
    <xf numFmtId="0" fontId="12" fillId="0" borderId="15" xfId="2" applyFont="1" applyBorder="1"/>
    <xf numFmtId="0" fontId="6" fillId="0" borderId="21" xfId="2" applyFont="1" applyBorder="1" applyAlignment="1">
      <alignment horizontal="center"/>
    </xf>
    <xf numFmtId="0" fontId="2" fillId="0" borderId="21" xfId="2" applyFont="1" applyBorder="1"/>
    <xf numFmtId="0" fontId="12" fillId="0" borderId="21" xfId="2" applyFont="1" applyBorder="1"/>
    <xf numFmtId="0" fontId="2" fillId="6" borderId="6" xfId="2" applyFont="1" applyFill="1" applyBorder="1" applyAlignment="1">
      <alignment horizontal="center"/>
    </xf>
    <xf numFmtId="0" fontId="2" fillId="6" borderId="6" xfId="2" applyFont="1" applyFill="1" applyBorder="1"/>
    <xf numFmtId="187" fontId="2" fillId="6" borderId="6" xfId="1" applyNumberFormat="1" applyFont="1" applyFill="1" applyBorder="1" applyAlignment="1">
      <alignment horizontal="center"/>
    </xf>
    <xf numFmtId="43" fontId="2" fillId="6" borderId="6" xfId="1" applyFont="1" applyFill="1" applyBorder="1" applyAlignment="1">
      <alignment horizontal="center"/>
    </xf>
    <xf numFmtId="0" fontId="12" fillId="0" borderId="13" xfId="2" applyFont="1" applyFill="1" applyBorder="1"/>
    <xf numFmtId="0" fontId="12" fillId="0" borderId="16" xfId="2" applyFont="1" applyFill="1" applyBorder="1"/>
    <xf numFmtId="0" fontId="12" fillId="6" borderId="6" xfId="2" applyFont="1" applyFill="1" applyBorder="1"/>
    <xf numFmtId="0" fontId="10" fillId="0" borderId="0" xfId="0" applyFont="1"/>
    <xf numFmtId="43" fontId="10" fillId="0" borderId="0" xfId="1" applyFont="1"/>
    <xf numFmtId="187" fontId="10" fillId="0" borderId="0" xfId="0" applyNumberFormat="1" applyFont="1"/>
    <xf numFmtId="0" fontId="14" fillId="0" borderId="0" xfId="0" applyFont="1"/>
    <xf numFmtId="0" fontId="14" fillId="0" borderId="0" xfId="0" applyFont="1" applyAlignment="1"/>
    <xf numFmtId="0" fontId="13" fillId="0" borderId="1" xfId="0" applyFont="1" applyBorder="1" applyAlignment="1"/>
    <xf numFmtId="3" fontId="0" fillId="0" borderId="0" xfId="0" applyNumberFormat="1" applyAlignment="1">
      <alignment horizontal="center"/>
    </xf>
    <xf numFmtId="0" fontId="17" fillId="0" borderId="0" xfId="0" applyFont="1"/>
    <xf numFmtId="3" fontId="16" fillId="9" borderId="6" xfId="0" applyNumberFormat="1" applyFont="1" applyFill="1" applyBorder="1" applyAlignment="1">
      <alignment horizontal="center"/>
    </xf>
    <xf numFmtId="0" fontId="16" fillId="0" borderId="6" xfId="0" applyFont="1" applyBorder="1" applyAlignment="1">
      <alignment horizontal="left"/>
    </xf>
    <xf numFmtId="0" fontId="16" fillId="0" borderId="6" xfId="0" applyNumberFormat="1" applyFont="1" applyBorder="1" applyAlignment="1">
      <alignment horizontal="center"/>
    </xf>
    <xf numFmtId="0" fontId="16" fillId="9" borderId="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8" borderId="6" xfId="0" applyFont="1" applyFill="1" applyBorder="1" applyAlignment="1">
      <alignment horizontal="left"/>
    </xf>
    <xf numFmtId="0" fontId="16" fillId="8" borderId="6" xfId="0" applyNumberFormat="1" applyFont="1" applyFill="1" applyBorder="1" applyAlignment="1">
      <alignment horizontal="center"/>
    </xf>
    <xf numFmtId="3" fontId="16" fillId="8" borderId="6" xfId="0" applyNumberFormat="1" applyFont="1" applyFill="1" applyBorder="1" applyAlignment="1">
      <alignment horizontal="center"/>
    </xf>
    <xf numFmtId="3" fontId="17" fillId="0" borderId="0" xfId="0" applyNumberFormat="1" applyFont="1" applyAlignment="1">
      <alignment horizontal="center"/>
    </xf>
    <xf numFmtId="3" fontId="17" fillId="0" borderId="0" xfId="0" applyNumberFormat="1" applyFont="1"/>
    <xf numFmtId="3" fontId="7" fillId="8" borderId="26" xfId="0" applyNumberFormat="1" applyFont="1" applyFill="1" applyBorder="1" applyAlignment="1">
      <alignment horizontal="center" shrinkToFit="1"/>
    </xf>
    <xf numFmtId="3" fontId="17" fillId="0" borderId="29" xfId="0" applyNumberFormat="1" applyFont="1" applyBorder="1" applyAlignment="1">
      <alignment horizontal="left" indent="2"/>
    </xf>
    <xf numFmtId="3" fontId="17" fillId="0" borderId="31" xfId="0" applyNumberFormat="1" applyFont="1" applyBorder="1" applyAlignment="1">
      <alignment horizontal="left" indent="2"/>
    </xf>
    <xf numFmtId="3" fontId="7" fillId="0" borderId="14" xfId="0" applyNumberFormat="1" applyFont="1" applyBorder="1" applyAlignment="1">
      <alignment horizontal="left" indent="1"/>
    </xf>
    <xf numFmtId="3" fontId="7" fillId="0" borderId="14" xfId="0" applyNumberFormat="1" applyFont="1" applyBorder="1" applyAlignment="1">
      <alignment horizontal="center" shrinkToFit="1"/>
    </xf>
    <xf numFmtId="3" fontId="7" fillId="9" borderId="14" xfId="0" applyNumberFormat="1" applyFont="1" applyFill="1" applyBorder="1" applyAlignment="1">
      <alignment horizontal="center" shrinkToFit="1"/>
    </xf>
    <xf numFmtId="3" fontId="17" fillId="0" borderId="0" xfId="0" applyNumberFormat="1" applyFont="1" applyAlignment="1">
      <alignment horizontal="center" shrinkToFit="1"/>
    </xf>
    <xf numFmtId="3" fontId="17" fillId="0" borderId="0" xfId="0" applyNumberFormat="1" applyFont="1" applyAlignment="1">
      <alignment horizontal="right"/>
    </xf>
    <xf numFmtId="3" fontId="17" fillId="0" borderId="32" xfId="0" applyNumberFormat="1" applyFont="1" applyBorder="1" applyAlignment="1">
      <alignment horizontal="center"/>
    </xf>
    <xf numFmtId="3" fontId="17" fillId="9" borderId="32" xfId="0" applyNumberFormat="1" applyFont="1" applyFill="1" applyBorder="1" applyAlignment="1">
      <alignment horizontal="center"/>
    </xf>
    <xf numFmtId="3" fontId="7" fillId="8" borderId="26" xfId="0" applyNumberFormat="1" applyFont="1" applyFill="1" applyBorder="1" applyAlignment="1">
      <alignment horizontal="center"/>
    </xf>
    <xf numFmtId="3" fontId="7" fillId="0" borderId="44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center"/>
    </xf>
    <xf numFmtId="3" fontId="7" fillId="9" borderId="0" xfId="0" applyNumberFormat="1" applyFont="1" applyFill="1" applyBorder="1" applyAlignment="1">
      <alignment horizontal="center"/>
    </xf>
    <xf numFmtId="3" fontId="7" fillId="0" borderId="45" xfId="0" applyNumberFormat="1" applyFont="1" applyBorder="1" applyAlignment="1">
      <alignment horizontal="center"/>
    </xf>
    <xf numFmtId="3" fontId="7" fillId="0" borderId="46" xfId="0" applyNumberFormat="1" applyFont="1" applyBorder="1" applyAlignment="1">
      <alignment horizontal="left" indent="1"/>
    </xf>
    <xf numFmtId="3" fontId="7" fillId="0" borderId="28" xfId="0" applyNumberFormat="1" applyFont="1" applyBorder="1" applyAlignment="1">
      <alignment horizontal="center"/>
    </xf>
    <xf numFmtId="3" fontId="7" fillId="9" borderId="28" xfId="0" applyNumberFormat="1" applyFont="1" applyFill="1" applyBorder="1" applyAlignment="1">
      <alignment horizontal="center"/>
    </xf>
    <xf numFmtId="3" fontId="7" fillId="0" borderId="47" xfId="0" applyNumberFormat="1" applyFont="1" applyBorder="1" applyAlignment="1">
      <alignment horizontal="center"/>
    </xf>
    <xf numFmtId="3" fontId="17" fillId="0" borderId="30" xfId="0" applyNumberFormat="1" applyFont="1" applyBorder="1" applyAlignment="1">
      <alignment horizontal="center"/>
    </xf>
    <xf numFmtId="3" fontId="17" fillId="9" borderId="30" xfId="0" applyNumberFormat="1" applyFont="1" applyFill="1" applyBorder="1" applyAlignment="1">
      <alignment horizontal="center"/>
    </xf>
    <xf numFmtId="3" fontId="17" fillId="0" borderId="48" xfId="0" applyNumberFormat="1" applyFont="1" applyBorder="1" applyAlignment="1">
      <alignment horizontal="center"/>
    </xf>
    <xf numFmtId="3" fontId="17" fillId="0" borderId="49" xfId="0" applyNumberFormat="1" applyFont="1" applyBorder="1" applyAlignment="1">
      <alignment horizontal="center"/>
    </xf>
    <xf numFmtId="3" fontId="17" fillId="0" borderId="50" xfId="0" applyNumberFormat="1" applyFont="1" applyBorder="1" applyAlignment="1">
      <alignment horizontal="left" indent="2"/>
    </xf>
    <xf numFmtId="3" fontId="17" fillId="0" borderId="51" xfId="0" applyNumberFormat="1" applyFont="1" applyBorder="1" applyAlignment="1">
      <alignment horizontal="center"/>
    </xf>
    <xf numFmtId="3" fontId="17" fillId="9" borderId="51" xfId="0" applyNumberFormat="1" applyFont="1" applyFill="1" applyBorder="1" applyAlignment="1">
      <alignment horizontal="center"/>
    </xf>
    <xf numFmtId="3" fontId="17" fillId="0" borderId="52" xfId="0" applyNumberFormat="1" applyFont="1" applyBorder="1" applyAlignment="1">
      <alignment horizontal="center"/>
    </xf>
    <xf numFmtId="3" fontId="7" fillId="0" borderId="53" xfId="0" applyNumberFormat="1" applyFont="1" applyBorder="1" applyAlignment="1">
      <alignment horizontal="left" indent="1"/>
    </xf>
    <xf numFmtId="3" fontId="7" fillId="0" borderId="23" xfId="0" applyNumberFormat="1" applyFont="1" applyBorder="1" applyAlignment="1">
      <alignment horizontal="center"/>
    </xf>
    <xf numFmtId="3" fontId="7" fillId="9" borderId="23" xfId="0" applyNumberFormat="1" applyFont="1" applyFill="1" applyBorder="1" applyAlignment="1">
      <alignment horizontal="center"/>
    </xf>
    <xf numFmtId="3" fontId="7" fillId="0" borderId="54" xfId="0" applyNumberFormat="1" applyFont="1" applyBorder="1" applyAlignment="1">
      <alignment horizontal="center"/>
    </xf>
    <xf numFmtId="3" fontId="7" fillId="0" borderId="55" xfId="0" applyNumberFormat="1" applyFont="1" applyBorder="1" applyAlignment="1">
      <alignment horizontal="left" indent="1"/>
    </xf>
    <xf numFmtId="3" fontId="7" fillId="0" borderId="33" xfId="0" applyNumberFormat="1" applyFont="1" applyBorder="1" applyAlignment="1">
      <alignment horizontal="center"/>
    </xf>
    <xf numFmtId="3" fontId="7" fillId="9" borderId="33" xfId="0" applyNumberFormat="1" applyFont="1" applyFill="1" applyBorder="1" applyAlignment="1">
      <alignment horizontal="center"/>
    </xf>
    <xf numFmtId="3" fontId="7" fillId="0" borderId="56" xfId="0" applyNumberFormat="1" applyFont="1" applyBorder="1" applyAlignment="1">
      <alignment horizontal="center"/>
    </xf>
    <xf numFmtId="3" fontId="17" fillId="0" borderId="57" xfId="0" applyNumberFormat="1" applyFont="1" applyBorder="1" applyAlignment="1">
      <alignment horizontal="left" indent="2"/>
    </xf>
    <xf numFmtId="3" fontId="17" fillId="0" borderId="35" xfId="0" applyNumberFormat="1" applyFont="1" applyBorder="1" applyAlignment="1">
      <alignment horizontal="center"/>
    </xf>
    <xf numFmtId="3" fontId="17" fillId="9" borderId="35" xfId="0" applyNumberFormat="1" applyFont="1" applyFill="1" applyBorder="1" applyAlignment="1">
      <alignment horizontal="center"/>
    </xf>
    <xf numFmtId="3" fontId="17" fillId="0" borderId="58" xfId="0" applyNumberFormat="1" applyFont="1" applyBorder="1" applyAlignment="1">
      <alignment horizontal="center"/>
    </xf>
    <xf numFmtId="3" fontId="7" fillId="0" borderId="37" xfId="0" applyNumberFormat="1" applyFont="1" applyBorder="1" applyAlignment="1">
      <alignment horizontal="left"/>
    </xf>
    <xf numFmtId="3" fontId="7" fillId="0" borderId="26" xfId="0" applyNumberFormat="1" applyFont="1" applyBorder="1" applyAlignment="1">
      <alignment horizontal="center"/>
    </xf>
    <xf numFmtId="3" fontId="7" fillId="9" borderId="26" xfId="0" applyNumberFormat="1" applyFont="1" applyFill="1" applyBorder="1" applyAlignment="1">
      <alignment horizontal="center"/>
    </xf>
    <xf numFmtId="3" fontId="7" fillId="0" borderId="59" xfId="0" applyNumberFormat="1" applyFont="1" applyBorder="1" applyAlignment="1">
      <alignment horizontal="center"/>
    </xf>
    <xf numFmtId="3" fontId="7" fillId="8" borderId="60" xfId="0" applyNumberFormat="1" applyFont="1" applyFill="1" applyBorder="1" applyAlignment="1">
      <alignment horizontal="left"/>
    </xf>
    <xf numFmtId="3" fontId="7" fillId="8" borderId="6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/>
    <xf numFmtId="0" fontId="2" fillId="0" borderId="0" xfId="0" applyFont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/>
    <xf numFmtId="0" fontId="6" fillId="0" borderId="0" xfId="0" applyFont="1" applyAlignment="1">
      <alignment horizontal="left" indent="5"/>
    </xf>
    <xf numFmtId="0" fontId="23" fillId="0" borderId="0" xfId="0" applyFont="1"/>
    <xf numFmtId="0" fontId="23" fillId="0" borderId="0" xfId="0" applyFont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/>
    </xf>
    <xf numFmtId="0" fontId="24" fillId="2" borderId="9" xfId="0" applyFont="1" applyFill="1" applyBorder="1" applyAlignment="1">
      <alignment horizontal="center"/>
    </xf>
    <xf numFmtId="0" fontId="24" fillId="2" borderId="0" xfId="0" applyFont="1" applyFill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/>
    </xf>
    <xf numFmtId="3" fontId="24" fillId="2" borderId="6" xfId="0" applyNumberFormat="1" applyFont="1" applyFill="1" applyBorder="1" applyAlignment="1">
      <alignment horizontal="center"/>
    </xf>
    <xf numFmtId="3" fontId="25" fillId="2" borderId="6" xfId="0" applyNumberFormat="1" applyFont="1" applyFill="1" applyBorder="1" applyAlignment="1">
      <alignment horizontal="center"/>
    </xf>
    <xf numFmtId="0" fontId="26" fillId="10" borderId="6" xfId="0" applyFont="1" applyFill="1" applyBorder="1" applyAlignment="1">
      <alignment horizontal="center"/>
    </xf>
    <xf numFmtId="3" fontId="26" fillId="10" borderId="6" xfId="1" applyNumberFormat="1" applyFont="1" applyFill="1" applyBorder="1" applyAlignment="1">
      <alignment horizontal="center"/>
    </xf>
    <xf numFmtId="4" fontId="26" fillId="10" borderId="6" xfId="1" applyNumberFormat="1" applyFont="1" applyFill="1" applyBorder="1" applyAlignment="1">
      <alignment horizontal="center"/>
    </xf>
    <xf numFmtId="4" fontId="26" fillId="10" borderId="6" xfId="0" applyNumberFormat="1" applyFont="1" applyFill="1" applyBorder="1" applyAlignment="1">
      <alignment horizontal="center"/>
    </xf>
    <xf numFmtId="3" fontId="26" fillId="10" borderId="6" xfId="0" applyNumberFormat="1" applyFont="1" applyFill="1" applyBorder="1" applyAlignment="1">
      <alignment horizontal="center"/>
    </xf>
    <xf numFmtId="3" fontId="26" fillId="11" borderId="6" xfId="0" applyNumberFormat="1" applyFont="1" applyFill="1" applyBorder="1" applyAlignment="1">
      <alignment horizontal="center"/>
    </xf>
    <xf numFmtId="0" fontId="27" fillId="0" borderId="61" xfId="0" applyFont="1" applyBorder="1" applyAlignment="1">
      <alignment horizontal="center"/>
    </xf>
    <xf numFmtId="0" fontId="27" fillId="0" borderId="61" xfId="0" applyFont="1" applyFill="1" applyBorder="1"/>
    <xf numFmtId="3" fontId="27" fillId="0" borderId="61" xfId="1" applyNumberFormat="1" applyFont="1" applyBorder="1" applyAlignment="1">
      <alignment horizontal="center"/>
    </xf>
    <xf numFmtId="3" fontId="27" fillId="0" borderId="61" xfId="0" applyNumberFormat="1" applyFont="1" applyFill="1" applyBorder="1" applyAlignment="1">
      <alignment horizontal="center"/>
    </xf>
    <xf numFmtId="4" fontId="27" fillId="0" borderId="61" xfId="0" applyNumberFormat="1" applyFont="1" applyFill="1" applyBorder="1" applyAlignment="1">
      <alignment horizontal="center"/>
    </xf>
    <xf numFmtId="4" fontId="27" fillId="0" borderId="61" xfId="1" applyNumberFormat="1" applyFont="1" applyBorder="1" applyAlignment="1">
      <alignment horizontal="center"/>
    </xf>
    <xf numFmtId="3" fontId="27" fillId="0" borderId="61" xfId="1" applyNumberFormat="1" applyFont="1" applyFill="1" applyBorder="1" applyAlignment="1">
      <alignment horizontal="center"/>
    </xf>
    <xf numFmtId="0" fontId="27" fillId="0" borderId="62" xfId="0" applyFont="1" applyBorder="1" applyAlignment="1">
      <alignment horizontal="center"/>
    </xf>
    <xf numFmtId="0" fontId="27" fillId="0" borderId="62" xfId="0" applyFont="1" applyBorder="1"/>
    <xf numFmtId="3" fontId="27" fillId="0" borderId="62" xfId="1" applyNumberFormat="1" applyFont="1" applyBorder="1" applyAlignment="1">
      <alignment horizontal="center"/>
    </xf>
    <xf numFmtId="4" fontId="26" fillId="0" borderId="62" xfId="1" applyNumberFormat="1" applyFont="1" applyFill="1" applyBorder="1" applyAlignment="1">
      <alignment horizontal="center"/>
    </xf>
    <xf numFmtId="4" fontId="27" fillId="0" borderId="62" xfId="1" applyNumberFormat="1" applyFont="1" applyBorder="1" applyAlignment="1">
      <alignment horizontal="center"/>
    </xf>
    <xf numFmtId="3" fontId="27" fillId="0" borderId="62" xfId="1" applyNumberFormat="1" applyFont="1" applyFill="1" applyBorder="1" applyAlignment="1">
      <alignment horizontal="center"/>
    </xf>
    <xf numFmtId="0" fontId="27" fillId="0" borderId="63" xfId="0" applyFont="1" applyBorder="1" applyAlignment="1">
      <alignment horizontal="center"/>
    </xf>
    <xf numFmtId="0" fontId="27" fillId="0" borderId="63" xfId="0" applyFont="1" applyBorder="1"/>
    <xf numFmtId="3" fontId="27" fillId="0" borderId="63" xfId="1" applyNumberFormat="1" applyFont="1" applyBorder="1" applyAlignment="1">
      <alignment horizontal="center"/>
    </xf>
    <xf numFmtId="4" fontId="26" fillId="0" borderId="63" xfId="1" applyNumberFormat="1" applyFont="1" applyFill="1" applyBorder="1" applyAlignment="1">
      <alignment horizontal="center"/>
    </xf>
    <xf numFmtId="4" fontId="27" fillId="0" borderId="63" xfId="1" applyNumberFormat="1" applyFont="1" applyBorder="1" applyAlignment="1">
      <alignment horizontal="center"/>
    </xf>
    <xf numFmtId="3" fontId="27" fillId="0" borderId="63" xfId="1" applyNumberFormat="1" applyFont="1" applyFill="1" applyBorder="1" applyAlignment="1">
      <alignment horizontal="center"/>
    </xf>
    <xf numFmtId="0" fontId="26" fillId="12" borderId="6" xfId="0" applyFont="1" applyFill="1" applyBorder="1" applyAlignment="1">
      <alignment horizontal="center"/>
    </xf>
    <xf numFmtId="3" fontId="26" fillId="12" borderId="6" xfId="1" applyNumberFormat="1" applyFont="1" applyFill="1" applyBorder="1" applyAlignment="1">
      <alignment horizontal="center"/>
    </xf>
    <xf numFmtId="4" fontId="26" fillId="12" borderId="6" xfId="1" applyNumberFormat="1" applyFont="1" applyFill="1" applyBorder="1" applyAlignment="1">
      <alignment horizontal="center"/>
    </xf>
    <xf numFmtId="4" fontId="26" fillId="12" borderId="6" xfId="0" applyNumberFormat="1" applyFont="1" applyFill="1" applyBorder="1" applyAlignment="1">
      <alignment horizontal="center"/>
    </xf>
    <xf numFmtId="3" fontId="26" fillId="12" borderId="6" xfId="0" applyNumberFormat="1" applyFont="1" applyFill="1" applyBorder="1" applyAlignment="1">
      <alignment horizontal="center"/>
    </xf>
    <xf numFmtId="0" fontId="22" fillId="0" borderId="0" xfId="0" applyFont="1" applyFill="1"/>
    <xf numFmtId="0" fontId="28" fillId="0" borderId="0" xfId="0" applyFont="1"/>
    <xf numFmtId="0" fontId="29" fillId="0" borderId="0" xfId="0" applyFont="1" applyFill="1" applyAlignment="1">
      <alignment horizontal="center"/>
    </xf>
    <xf numFmtId="0" fontId="3" fillId="11" borderId="6" xfId="0" applyFont="1" applyFill="1" applyBorder="1" applyAlignment="1">
      <alignment horizontal="center"/>
    </xf>
    <xf numFmtId="3" fontId="3" fillId="11" borderId="6" xfId="1" applyNumberFormat="1" applyFont="1" applyFill="1" applyBorder="1" applyAlignment="1">
      <alignment horizontal="center"/>
    </xf>
    <xf numFmtId="4" fontId="3" fillId="11" borderId="6" xfId="1" applyNumberFormat="1" applyFont="1" applyFill="1" applyBorder="1" applyAlignment="1">
      <alignment horizontal="center"/>
    </xf>
    <xf numFmtId="4" fontId="3" fillId="11" borderId="6" xfId="0" applyNumberFormat="1" applyFont="1" applyFill="1" applyBorder="1" applyAlignment="1">
      <alignment horizontal="center"/>
    </xf>
    <xf numFmtId="3" fontId="3" fillId="11" borderId="6" xfId="0" applyNumberFormat="1" applyFont="1" applyFill="1" applyBorder="1" applyAlignment="1">
      <alignment horizontal="center"/>
    </xf>
    <xf numFmtId="0" fontId="21" fillId="0" borderId="61" xfId="0" applyFont="1" applyBorder="1" applyAlignment="1">
      <alignment horizontal="center"/>
    </xf>
    <xf numFmtId="0" fontId="21" fillId="0" borderId="61" xfId="0" applyFont="1" applyFill="1" applyBorder="1"/>
    <xf numFmtId="3" fontId="21" fillId="0" borderId="61" xfId="1" applyNumberFormat="1" applyFont="1" applyBorder="1" applyAlignment="1">
      <alignment horizontal="center"/>
    </xf>
    <xf numFmtId="3" fontId="21" fillId="0" borderId="61" xfId="1" applyNumberFormat="1" applyFont="1" applyFill="1" applyBorder="1" applyAlignment="1">
      <alignment horizontal="center"/>
    </xf>
    <xf numFmtId="0" fontId="30" fillId="0" borderId="0" xfId="0" applyFont="1"/>
    <xf numFmtId="0" fontId="21" fillId="0" borderId="62" xfId="0" applyFont="1" applyBorder="1" applyAlignment="1">
      <alignment horizontal="center"/>
    </xf>
    <xf numFmtId="0" fontId="21" fillId="0" borderId="62" xfId="0" applyFont="1" applyFill="1" applyBorder="1"/>
    <xf numFmtId="3" fontId="21" fillId="0" borderId="62" xfId="1" applyNumberFormat="1" applyFont="1" applyBorder="1" applyAlignment="1">
      <alignment horizontal="center"/>
    </xf>
    <xf numFmtId="3" fontId="21" fillId="0" borderId="62" xfId="1" applyNumberFormat="1" applyFont="1" applyFill="1" applyBorder="1" applyAlignment="1">
      <alignment horizontal="center"/>
    </xf>
    <xf numFmtId="0" fontId="21" fillId="0" borderId="62" xfId="0" applyFont="1" applyBorder="1"/>
    <xf numFmtId="4" fontId="3" fillId="0" borderId="62" xfId="1" applyNumberFormat="1" applyFont="1" applyFill="1" applyBorder="1" applyAlignment="1">
      <alignment horizontal="center"/>
    </xf>
    <xf numFmtId="0" fontId="21" fillId="0" borderId="63" xfId="0" applyFont="1" applyBorder="1" applyAlignment="1">
      <alignment horizontal="center"/>
    </xf>
    <xf numFmtId="0" fontId="21" fillId="0" borderId="63" xfId="0" applyFont="1" applyBorder="1"/>
    <xf numFmtId="3" fontId="21" fillId="0" borderId="63" xfId="1" applyNumberFormat="1" applyFont="1" applyBorder="1" applyAlignment="1">
      <alignment horizontal="center"/>
    </xf>
    <xf numFmtId="4" fontId="3" fillId="0" borderId="63" xfId="1" applyNumberFormat="1" applyFont="1" applyFill="1" applyBorder="1" applyAlignment="1">
      <alignment horizontal="center"/>
    </xf>
    <xf numFmtId="3" fontId="21" fillId="0" borderId="63" xfId="1" applyNumberFormat="1" applyFont="1" applyFill="1" applyBorder="1" applyAlignment="1">
      <alignment horizontal="center"/>
    </xf>
    <xf numFmtId="4" fontId="3" fillId="0" borderId="61" xfId="1" applyNumberFormat="1" applyFont="1" applyFill="1" applyBorder="1" applyAlignment="1">
      <alignment horizontal="center"/>
    </xf>
    <xf numFmtId="3" fontId="30" fillId="0" borderId="0" xfId="0" applyNumberFormat="1" applyFont="1"/>
    <xf numFmtId="0" fontId="3" fillId="13" borderId="6" xfId="0" applyFont="1" applyFill="1" applyBorder="1" applyAlignment="1">
      <alignment horizontal="center"/>
    </xf>
    <xf numFmtId="3" fontId="3" fillId="13" borderId="6" xfId="1" applyNumberFormat="1" applyFont="1" applyFill="1" applyBorder="1" applyAlignment="1">
      <alignment horizontal="center"/>
    </xf>
    <xf numFmtId="4" fontId="3" fillId="13" borderId="6" xfId="0" applyNumberFormat="1" applyFont="1" applyFill="1" applyBorder="1" applyAlignment="1">
      <alignment horizontal="center"/>
    </xf>
    <xf numFmtId="3" fontId="3" fillId="13" borderId="6" xfId="0" applyNumberFormat="1" applyFont="1" applyFill="1" applyBorder="1" applyAlignment="1">
      <alignment horizontal="center"/>
    </xf>
    <xf numFmtId="4" fontId="3" fillId="0" borderId="64" xfId="1" applyNumberFormat="1" applyFont="1" applyFill="1" applyBorder="1" applyAlignment="1">
      <alignment horizontal="center"/>
    </xf>
    <xf numFmtId="3" fontId="21" fillId="0" borderId="65" xfId="1" applyNumberFormat="1" applyFont="1" applyBorder="1" applyAlignment="1">
      <alignment horizontal="center"/>
    </xf>
    <xf numFmtId="4" fontId="3" fillId="0" borderId="66" xfId="1" applyNumberFormat="1" applyFont="1" applyFill="1" applyBorder="1" applyAlignment="1">
      <alignment horizontal="center"/>
    </xf>
    <xf numFmtId="3" fontId="21" fillId="0" borderId="67" xfId="1" applyNumberFormat="1" applyFont="1" applyBorder="1" applyAlignment="1">
      <alignment horizontal="center"/>
    </xf>
    <xf numFmtId="4" fontId="3" fillId="0" borderId="68" xfId="1" applyNumberFormat="1" applyFont="1" applyFill="1" applyBorder="1" applyAlignment="1">
      <alignment horizontal="center"/>
    </xf>
    <xf numFmtId="3" fontId="21" fillId="0" borderId="69" xfId="1" applyNumberFormat="1" applyFont="1" applyBorder="1" applyAlignment="1">
      <alignment horizontal="center"/>
    </xf>
    <xf numFmtId="0" fontId="21" fillId="0" borderId="70" xfId="0" applyFont="1" applyBorder="1" applyAlignment="1">
      <alignment horizontal="center"/>
    </xf>
    <xf numFmtId="3" fontId="21" fillId="0" borderId="70" xfId="1" applyNumberFormat="1" applyFont="1" applyBorder="1" applyAlignment="1">
      <alignment horizontal="center"/>
    </xf>
    <xf numFmtId="4" fontId="3" fillId="0" borderId="71" xfId="1" applyNumberFormat="1" applyFont="1" applyFill="1" applyBorder="1" applyAlignment="1">
      <alignment horizontal="center"/>
    </xf>
    <xf numFmtId="43" fontId="3" fillId="11" borderId="6" xfId="1" applyFont="1" applyFill="1" applyBorder="1" applyAlignment="1">
      <alignment horizontal="center"/>
    </xf>
    <xf numFmtId="3" fontId="21" fillId="0" borderId="20" xfId="1" applyNumberFormat="1" applyFont="1" applyBorder="1" applyAlignment="1">
      <alignment horizontal="center"/>
    </xf>
    <xf numFmtId="43" fontId="21" fillId="0" borderId="20" xfId="1" applyFont="1" applyBorder="1" applyAlignment="1">
      <alignment horizontal="center"/>
    </xf>
    <xf numFmtId="3" fontId="21" fillId="0" borderId="20" xfId="1" applyNumberFormat="1" applyFont="1" applyFill="1" applyBorder="1" applyAlignment="1">
      <alignment horizontal="center"/>
    </xf>
    <xf numFmtId="3" fontId="21" fillId="0" borderId="15" xfId="1" applyNumberFormat="1" applyFont="1" applyBorder="1" applyAlignment="1">
      <alignment horizontal="center"/>
    </xf>
    <xf numFmtId="43" fontId="21" fillId="0" borderId="15" xfId="1" applyFont="1" applyBorder="1" applyAlignment="1">
      <alignment horizontal="center"/>
    </xf>
    <xf numFmtId="3" fontId="21" fillId="0" borderId="15" xfId="1" applyNumberFormat="1" applyFont="1" applyFill="1" applyBorder="1" applyAlignment="1">
      <alignment horizontal="center"/>
    </xf>
    <xf numFmtId="4" fontId="3" fillId="0" borderId="15" xfId="1" applyNumberFormat="1" applyFont="1" applyFill="1" applyBorder="1" applyAlignment="1">
      <alignment horizontal="center"/>
    </xf>
    <xf numFmtId="3" fontId="21" fillId="0" borderId="21" xfId="1" applyNumberFormat="1" applyFont="1" applyBorder="1" applyAlignment="1">
      <alignment horizontal="center"/>
    </xf>
    <xf numFmtId="4" fontId="3" fillId="0" borderId="21" xfId="1" applyNumberFormat="1" applyFont="1" applyFill="1" applyBorder="1" applyAlignment="1">
      <alignment horizontal="center"/>
    </xf>
    <xf numFmtId="3" fontId="21" fillId="0" borderId="21" xfId="1" applyNumberFormat="1" applyFont="1" applyFill="1" applyBorder="1" applyAlignment="1">
      <alignment horizontal="center"/>
    </xf>
    <xf numFmtId="17" fontId="3" fillId="11" borderId="6" xfId="0" applyNumberFormat="1" applyFont="1" applyFill="1" applyBorder="1" applyAlignment="1">
      <alignment horizontal="center"/>
    </xf>
    <xf numFmtId="187" fontId="3" fillId="11" borderId="6" xfId="1" applyNumberFormat="1" applyFont="1" applyFill="1" applyBorder="1" applyAlignment="1">
      <alignment horizontal="center"/>
    </xf>
    <xf numFmtId="43" fontId="3" fillId="0" borderId="15" xfId="1" applyFont="1" applyFill="1" applyBorder="1" applyAlignment="1">
      <alignment horizontal="center"/>
    </xf>
    <xf numFmtId="43" fontId="3" fillId="0" borderId="21" xfId="1" applyFont="1" applyFill="1" applyBorder="1" applyAlignment="1">
      <alignment horizontal="center"/>
    </xf>
    <xf numFmtId="4" fontId="3" fillId="12" borderId="15" xfId="1" applyNumberFormat="1" applyFont="1" applyFill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0" xfId="0" applyFont="1" applyFill="1" applyBorder="1"/>
    <xf numFmtId="187" fontId="21" fillId="0" borderId="20" xfId="1" applyNumberFormat="1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5" xfId="0" applyFont="1" applyFill="1" applyBorder="1"/>
    <xf numFmtId="187" fontId="21" fillId="0" borderId="15" xfId="1" applyNumberFormat="1" applyFont="1" applyBorder="1" applyAlignment="1">
      <alignment horizontal="center"/>
    </xf>
    <xf numFmtId="0" fontId="21" fillId="0" borderId="15" xfId="0" applyFont="1" applyBorder="1"/>
    <xf numFmtId="0" fontId="21" fillId="0" borderId="21" xfId="0" applyFont="1" applyBorder="1" applyAlignment="1">
      <alignment horizontal="center"/>
    </xf>
    <xf numFmtId="0" fontId="21" fillId="0" borderId="21" xfId="0" applyFont="1" applyBorder="1"/>
    <xf numFmtId="187" fontId="21" fillId="0" borderId="21" xfId="1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31" fillId="0" borderId="0" xfId="0" applyFont="1" applyBorder="1"/>
    <xf numFmtId="187" fontId="31" fillId="0" borderId="0" xfId="1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 indent="3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left" indent="7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187" fontId="2" fillId="2" borderId="17" xfId="1" applyNumberFormat="1" applyFont="1" applyFill="1" applyBorder="1" applyAlignment="1">
      <alignment horizontal="center"/>
    </xf>
    <xf numFmtId="187" fontId="2" fillId="2" borderId="18" xfId="1" applyNumberFormat="1" applyFont="1" applyFill="1" applyBorder="1" applyAlignment="1">
      <alignment horizontal="center"/>
    </xf>
    <xf numFmtId="187" fontId="2" fillId="2" borderId="19" xfId="1" applyNumberFormat="1" applyFont="1" applyFill="1" applyBorder="1" applyAlignment="1">
      <alignment horizontal="center"/>
    </xf>
    <xf numFmtId="187" fontId="2" fillId="3" borderId="17" xfId="1" applyNumberFormat="1" applyFont="1" applyFill="1" applyBorder="1" applyAlignment="1">
      <alignment horizontal="center"/>
    </xf>
    <xf numFmtId="187" fontId="2" fillId="3" borderId="18" xfId="1" applyNumberFormat="1" applyFont="1" applyFill="1" applyBorder="1" applyAlignment="1">
      <alignment horizontal="center"/>
    </xf>
    <xf numFmtId="187" fontId="2" fillId="3" borderId="19" xfId="1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3" fontId="16" fillId="8" borderId="2" xfId="0" applyNumberFormat="1" applyFont="1" applyFill="1" applyBorder="1" applyAlignment="1">
      <alignment horizontal="center" vertical="center"/>
    </xf>
    <xf numFmtId="3" fontId="16" fillId="8" borderId="3" xfId="0" applyNumberFormat="1" applyFont="1" applyFill="1" applyBorder="1" applyAlignment="1">
      <alignment horizontal="center" vertical="center"/>
    </xf>
    <xf numFmtId="3" fontId="16" fillId="8" borderId="4" xfId="0" applyNumberFormat="1" applyFont="1" applyFill="1" applyBorder="1" applyAlignment="1">
      <alignment horizontal="center" vertical="center"/>
    </xf>
    <xf numFmtId="3" fontId="16" fillId="8" borderId="10" xfId="0" applyNumberFormat="1" applyFont="1" applyFill="1" applyBorder="1" applyAlignment="1">
      <alignment horizontal="center" vertical="center"/>
    </xf>
    <xf numFmtId="3" fontId="16" fillId="8" borderId="1" xfId="0" applyNumberFormat="1" applyFont="1" applyFill="1" applyBorder="1" applyAlignment="1">
      <alignment horizontal="center" vertical="center"/>
    </xf>
    <xf numFmtId="3" fontId="16" fillId="8" borderId="11" xfId="0" applyNumberFormat="1" applyFont="1" applyFill="1" applyBorder="1" applyAlignment="1">
      <alignment horizontal="center" vertical="center"/>
    </xf>
    <xf numFmtId="3" fontId="16" fillId="8" borderId="2" xfId="0" applyNumberFormat="1" applyFont="1" applyFill="1" applyBorder="1" applyAlignment="1">
      <alignment horizontal="center"/>
    </xf>
    <xf numFmtId="3" fontId="16" fillId="8" borderId="4" xfId="0" applyNumberFormat="1" applyFont="1" applyFill="1" applyBorder="1" applyAlignment="1">
      <alignment horizontal="center"/>
    </xf>
    <xf numFmtId="3" fontId="16" fillId="8" borderId="10" xfId="0" applyNumberFormat="1" applyFont="1" applyFill="1" applyBorder="1" applyAlignment="1">
      <alignment horizontal="center"/>
    </xf>
    <xf numFmtId="3" fontId="16" fillId="8" borderId="11" xfId="0" applyNumberFormat="1" applyFont="1" applyFill="1" applyBorder="1" applyAlignment="1">
      <alignment horizontal="center"/>
    </xf>
    <xf numFmtId="0" fontId="9" fillId="7" borderId="17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0" fontId="9" fillId="7" borderId="19" xfId="0" applyFont="1" applyFill="1" applyBorder="1" applyAlignment="1">
      <alignment horizontal="center"/>
    </xf>
    <xf numFmtId="3" fontId="16" fillId="8" borderId="6" xfId="0" applyNumberFormat="1" applyFont="1" applyFill="1" applyBorder="1" applyAlignment="1">
      <alignment horizontal="center" vertical="center"/>
    </xf>
    <xf numFmtId="3" fontId="16" fillId="8" borderId="17" xfId="0" applyNumberFormat="1" applyFont="1" applyFill="1" applyBorder="1" applyAlignment="1">
      <alignment horizontal="center"/>
    </xf>
    <xf numFmtId="3" fontId="16" fillId="8" borderId="18" xfId="0" applyNumberFormat="1" applyFont="1" applyFill="1" applyBorder="1" applyAlignment="1">
      <alignment horizontal="center"/>
    </xf>
    <xf numFmtId="3" fontId="16" fillId="8" borderId="19" xfId="0" applyNumberFormat="1" applyFont="1" applyFill="1" applyBorder="1" applyAlignment="1">
      <alignment horizontal="center"/>
    </xf>
    <xf numFmtId="3" fontId="13" fillId="7" borderId="17" xfId="0" applyNumberFormat="1" applyFont="1" applyFill="1" applyBorder="1" applyAlignment="1">
      <alignment horizontal="center"/>
    </xf>
    <xf numFmtId="3" fontId="13" fillId="7" borderId="18" xfId="0" applyNumberFormat="1" applyFont="1" applyFill="1" applyBorder="1" applyAlignment="1">
      <alignment horizontal="center"/>
    </xf>
    <xf numFmtId="3" fontId="13" fillId="7" borderId="19" xfId="0" applyNumberFormat="1" applyFont="1" applyFill="1" applyBorder="1" applyAlignment="1">
      <alignment horizontal="center"/>
    </xf>
    <xf numFmtId="3" fontId="7" fillId="9" borderId="26" xfId="0" applyNumberFormat="1" applyFont="1" applyFill="1" applyBorder="1" applyAlignment="1">
      <alignment horizontal="center" vertical="center" shrinkToFit="1"/>
    </xf>
    <xf numFmtId="3" fontId="7" fillId="8" borderId="26" xfId="0" applyNumberFormat="1" applyFont="1" applyFill="1" applyBorder="1" applyAlignment="1">
      <alignment horizontal="center" shrinkToFit="1"/>
    </xf>
    <xf numFmtId="3" fontId="18" fillId="0" borderId="0" xfId="0" applyNumberFormat="1" applyFont="1" applyFill="1" applyBorder="1" applyAlignment="1">
      <alignment horizontal="center"/>
    </xf>
    <xf numFmtId="3" fontId="7" fillId="7" borderId="22" xfId="0" applyNumberFormat="1" applyFont="1" applyFill="1" applyBorder="1" applyAlignment="1">
      <alignment horizontal="center" vertical="center"/>
    </xf>
    <xf numFmtId="3" fontId="7" fillId="7" borderId="25" xfId="0" applyNumberFormat="1" applyFont="1" applyFill="1" applyBorder="1" applyAlignment="1">
      <alignment horizontal="center" vertical="center"/>
    </xf>
    <xf numFmtId="3" fontId="7" fillId="8" borderId="23" xfId="0" applyNumberFormat="1" applyFont="1" applyFill="1" applyBorder="1" applyAlignment="1">
      <alignment horizontal="center" vertical="center" shrinkToFit="1"/>
    </xf>
    <xf numFmtId="3" fontId="7" fillId="8" borderId="26" xfId="0" applyNumberFormat="1" applyFont="1" applyFill="1" applyBorder="1" applyAlignment="1">
      <alignment horizontal="center" vertical="center" shrinkToFit="1"/>
    </xf>
    <xf numFmtId="3" fontId="7" fillId="9" borderId="23" xfId="0" applyNumberFormat="1" applyFont="1" applyFill="1" applyBorder="1" applyAlignment="1">
      <alignment horizontal="center" vertical="center" shrinkToFit="1"/>
    </xf>
    <xf numFmtId="3" fontId="9" fillId="7" borderId="23" xfId="0" applyNumberFormat="1" applyFont="1" applyFill="1" applyBorder="1" applyAlignment="1">
      <alignment horizontal="center" shrinkToFit="1"/>
    </xf>
    <xf numFmtId="3" fontId="7" fillId="8" borderId="24" xfId="0" applyNumberFormat="1" applyFont="1" applyFill="1" applyBorder="1" applyAlignment="1">
      <alignment horizontal="center" vertical="center" shrinkToFit="1"/>
    </xf>
    <xf numFmtId="3" fontId="7" fillId="8" borderId="27" xfId="0" applyNumberFormat="1" applyFont="1" applyFill="1" applyBorder="1" applyAlignment="1">
      <alignment horizontal="center" vertical="center" shrinkToFit="1"/>
    </xf>
    <xf numFmtId="3" fontId="7" fillId="9" borderId="26" xfId="0" applyNumberFormat="1" applyFont="1" applyFill="1" applyBorder="1" applyAlignment="1">
      <alignment horizontal="center" vertical="center"/>
    </xf>
    <xf numFmtId="3" fontId="20" fillId="0" borderId="36" xfId="0" applyNumberFormat="1" applyFont="1" applyBorder="1" applyAlignment="1">
      <alignment horizontal="center"/>
    </xf>
    <xf numFmtId="3" fontId="7" fillId="7" borderId="37" xfId="0" applyNumberFormat="1" applyFont="1" applyFill="1" applyBorder="1" applyAlignment="1">
      <alignment horizontal="center" vertical="center"/>
    </xf>
    <xf numFmtId="3" fontId="7" fillId="8" borderId="26" xfId="0" applyNumberFormat="1" applyFont="1" applyFill="1" applyBorder="1" applyAlignment="1">
      <alignment horizontal="center" vertical="center"/>
    </xf>
    <xf numFmtId="3" fontId="9" fillId="7" borderId="38" xfId="0" applyNumberFormat="1" applyFont="1" applyFill="1" applyBorder="1" applyAlignment="1">
      <alignment horizontal="center" shrinkToFit="1"/>
    </xf>
    <xf numFmtId="3" fontId="9" fillId="7" borderId="39" xfId="0" applyNumberFormat="1" applyFont="1" applyFill="1" applyBorder="1" applyAlignment="1">
      <alignment horizontal="center" shrinkToFit="1"/>
    </xf>
    <xf numFmtId="3" fontId="9" fillId="7" borderId="40" xfId="0" applyNumberFormat="1" applyFont="1" applyFill="1" applyBorder="1" applyAlignment="1">
      <alignment horizontal="center" shrinkToFit="1"/>
    </xf>
    <xf numFmtId="3" fontId="7" fillId="8" borderId="41" xfId="0" applyNumberFormat="1" applyFont="1" applyFill="1" applyBorder="1" applyAlignment="1">
      <alignment horizontal="center" vertical="center" shrinkToFit="1"/>
    </xf>
    <xf numFmtId="3" fontId="7" fillId="8" borderId="42" xfId="0" applyNumberFormat="1" applyFont="1" applyFill="1" applyBorder="1" applyAlignment="1">
      <alignment horizontal="center" vertical="center" shrinkToFit="1"/>
    </xf>
    <xf numFmtId="3" fontId="7" fillId="8" borderId="43" xfId="0" applyNumberFormat="1" applyFont="1" applyFill="1" applyBorder="1" applyAlignment="1">
      <alignment horizontal="center" vertical="center" shrinkToFit="1"/>
    </xf>
    <xf numFmtId="3" fontId="7" fillId="8" borderId="26" xfId="0" applyNumberFormat="1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 horizontal="left" indent="1"/>
    </xf>
    <xf numFmtId="3" fontId="7" fillId="2" borderId="14" xfId="0" applyNumberFormat="1" applyFont="1" applyFill="1" applyBorder="1" applyAlignment="1">
      <alignment horizontal="center" shrinkToFit="1"/>
    </xf>
    <xf numFmtId="3" fontId="7" fillId="0" borderId="34" xfId="0" applyNumberFormat="1" applyFont="1" applyBorder="1" applyAlignment="1">
      <alignment horizontal="left" indent="1"/>
    </xf>
    <xf numFmtId="3" fontId="7" fillId="0" borderId="34" xfId="0" applyNumberFormat="1" applyFont="1" applyBorder="1" applyAlignment="1">
      <alignment horizontal="center" shrinkToFit="1"/>
    </xf>
    <xf numFmtId="3" fontId="7" fillId="9" borderId="34" xfId="0" applyNumberFormat="1" applyFont="1" applyFill="1" applyBorder="1" applyAlignment="1">
      <alignment horizontal="center" shrinkToFit="1"/>
    </xf>
    <xf numFmtId="3" fontId="9" fillId="0" borderId="6" xfId="0" applyNumberFormat="1" applyFont="1" applyBorder="1"/>
    <xf numFmtId="3" fontId="9" fillId="0" borderId="6" xfId="0" applyNumberFormat="1" applyFont="1" applyBorder="1" applyAlignment="1">
      <alignment horizontal="center" shrinkToFit="1"/>
    </xf>
    <xf numFmtId="3" fontId="9" fillId="2" borderId="6" xfId="0" applyNumberFormat="1" applyFont="1" applyFill="1" applyBorder="1" applyAlignment="1">
      <alignment horizontal="center" shrinkToFit="1"/>
    </xf>
    <xf numFmtId="3" fontId="9" fillId="0" borderId="0" xfId="0" applyNumberFormat="1" applyFont="1"/>
    <xf numFmtId="0" fontId="13" fillId="0" borderId="0" xfId="0" applyFont="1" applyBorder="1" applyAlignment="1"/>
    <xf numFmtId="0" fontId="0" fillId="0" borderId="0" xfId="0" applyBorder="1"/>
    <xf numFmtId="0" fontId="17" fillId="0" borderId="0" xfId="0" applyFont="1" applyBorder="1"/>
    <xf numFmtId="3" fontId="16" fillId="8" borderId="5" xfId="0" applyNumberFormat="1" applyFont="1" applyFill="1" applyBorder="1" applyAlignment="1">
      <alignment horizontal="center" vertical="center"/>
    </xf>
    <xf numFmtId="3" fontId="16" fillId="8" borderId="9" xfId="0" applyNumberFormat="1" applyFont="1" applyFill="1" applyBorder="1" applyAlignment="1">
      <alignment horizontal="center" vertical="center"/>
    </xf>
    <xf numFmtId="3" fontId="16" fillId="8" borderId="12" xfId="0" applyNumberFormat="1" applyFont="1" applyFill="1" applyBorder="1" applyAlignment="1">
      <alignment horizontal="center" vertical="center"/>
    </xf>
    <xf numFmtId="0" fontId="16" fillId="0" borderId="20" xfId="0" applyFont="1" applyBorder="1" applyAlignment="1">
      <alignment horizontal="left"/>
    </xf>
    <xf numFmtId="3" fontId="16" fillId="0" borderId="20" xfId="0" applyNumberFormat="1" applyFont="1" applyBorder="1" applyAlignment="1">
      <alignment horizontal="center"/>
    </xf>
    <xf numFmtId="3" fontId="16" fillId="9" borderId="20" xfId="0" applyNumberFormat="1" applyFont="1" applyFill="1" applyBorder="1" applyAlignment="1">
      <alignment horizontal="center"/>
    </xf>
    <xf numFmtId="0" fontId="16" fillId="0" borderId="15" xfId="0" applyFont="1" applyBorder="1" applyAlignment="1">
      <alignment horizontal="left"/>
    </xf>
    <xf numFmtId="3" fontId="16" fillId="0" borderId="15" xfId="0" applyNumberFormat="1" applyFont="1" applyBorder="1" applyAlignment="1">
      <alignment horizontal="center"/>
    </xf>
    <xf numFmtId="3" fontId="16" fillId="9" borderId="15" xfId="0" applyNumberFormat="1" applyFont="1" applyFill="1" applyBorder="1" applyAlignment="1">
      <alignment horizontal="center"/>
    </xf>
    <xf numFmtId="0" fontId="16" fillId="8" borderId="21" xfId="0" applyFont="1" applyFill="1" applyBorder="1" applyAlignment="1">
      <alignment horizontal="left"/>
    </xf>
    <xf numFmtId="3" fontId="16" fillId="8" borderId="21" xfId="0" applyNumberFormat="1" applyFont="1" applyFill="1" applyBorder="1" applyAlignment="1">
      <alignment horizontal="center"/>
    </xf>
    <xf numFmtId="3" fontId="16" fillId="8" borderId="5" xfId="0" applyNumberFormat="1" applyFont="1" applyFill="1" applyBorder="1" applyAlignment="1">
      <alignment horizontal="center"/>
    </xf>
    <xf numFmtId="3" fontId="16" fillId="9" borderId="5" xfId="0" applyNumberFormat="1" applyFont="1" applyFill="1" applyBorder="1" applyAlignment="1">
      <alignment horizontal="center"/>
    </xf>
    <xf numFmtId="17" fontId="2" fillId="2" borderId="8" xfId="2" applyNumberFormat="1" applyFont="1" applyFill="1" applyBorder="1" applyAlignment="1">
      <alignment horizontal="center"/>
    </xf>
    <xf numFmtId="0" fontId="6" fillId="0" borderId="0" xfId="2" applyFont="1" applyAlignment="1">
      <alignment horizontal="center"/>
    </xf>
    <xf numFmtId="3" fontId="13" fillId="0" borderId="0" xfId="0" applyNumberFormat="1" applyFont="1" applyAlignment="1">
      <alignment horizontal="center"/>
    </xf>
    <xf numFmtId="0" fontId="15" fillId="0" borderId="0" xfId="2" applyFont="1"/>
    <xf numFmtId="0" fontId="15" fillId="0" borderId="0" xfId="2" applyFont="1" applyFill="1"/>
    <xf numFmtId="3" fontId="13" fillId="0" borderId="0" xfId="0" applyNumberFormat="1" applyFont="1" applyAlignment="1">
      <alignment horizontal="center" shrinkToFit="1"/>
    </xf>
    <xf numFmtId="3" fontId="7" fillId="0" borderId="72" xfId="0" applyNumberFormat="1" applyFont="1" applyBorder="1" applyAlignment="1">
      <alignment horizontal="left" indent="1"/>
    </xf>
    <xf numFmtId="3" fontId="7" fillId="0" borderId="73" xfId="0" applyNumberFormat="1" applyFont="1" applyBorder="1" applyAlignment="1">
      <alignment horizontal="center"/>
    </xf>
    <xf numFmtId="3" fontId="7" fillId="9" borderId="73" xfId="0" applyNumberFormat="1" applyFont="1" applyFill="1" applyBorder="1" applyAlignment="1">
      <alignment horizontal="center"/>
    </xf>
    <xf numFmtId="3" fontId="7" fillId="0" borderId="74" xfId="0" applyNumberFormat="1" applyFont="1" applyBorder="1" applyAlignment="1">
      <alignment horizontal="center"/>
    </xf>
    <xf numFmtId="3" fontId="7" fillId="0" borderId="72" xfId="0" applyNumberFormat="1" applyFont="1" applyBorder="1" applyAlignment="1">
      <alignment horizontal="left"/>
    </xf>
    <xf numFmtId="3" fontId="7" fillId="8" borderId="75" xfId="0" applyNumberFormat="1" applyFont="1" applyFill="1" applyBorder="1" applyAlignment="1">
      <alignment horizontal="left"/>
    </xf>
    <xf numFmtId="3" fontId="7" fillId="8" borderId="76" xfId="0" applyNumberFormat="1" applyFont="1" applyFill="1" applyBorder="1" applyAlignment="1">
      <alignment horizontal="center"/>
    </xf>
    <xf numFmtId="3" fontId="7" fillId="8" borderId="77" xfId="0" applyNumberFormat="1" applyFont="1" applyFill="1" applyBorder="1" applyAlignment="1">
      <alignment horizontal="center"/>
    </xf>
    <xf numFmtId="0" fontId="16" fillId="0" borderId="20" xfId="0" applyNumberFormat="1" applyFont="1" applyBorder="1" applyAlignment="1">
      <alignment horizontal="center"/>
    </xf>
    <xf numFmtId="0" fontId="16" fillId="9" borderId="20" xfId="0" applyNumberFormat="1" applyFont="1" applyFill="1" applyBorder="1" applyAlignment="1">
      <alignment horizontal="center"/>
    </xf>
    <xf numFmtId="0" fontId="16" fillId="0" borderId="15" xfId="0" applyNumberFormat="1" applyFont="1" applyBorder="1" applyAlignment="1">
      <alignment horizontal="center"/>
    </xf>
    <xf numFmtId="0" fontId="16" fillId="9" borderId="15" xfId="0" applyNumberFormat="1" applyFont="1" applyFill="1" applyBorder="1" applyAlignment="1">
      <alignment horizontal="center"/>
    </xf>
    <xf numFmtId="0" fontId="16" fillId="8" borderId="21" xfId="0" applyNumberFormat="1" applyFont="1" applyFill="1" applyBorder="1" applyAlignment="1">
      <alignment horizontal="center"/>
    </xf>
    <xf numFmtId="0" fontId="16" fillId="7" borderId="6" xfId="0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/>
    </xf>
    <xf numFmtId="3" fontId="7" fillId="0" borderId="78" xfId="0" applyNumberFormat="1" applyFont="1" applyBorder="1" applyAlignment="1">
      <alignment horizontal="left"/>
    </xf>
    <xf numFmtId="3" fontId="7" fillId="0" borderId="79" xfId="0" applyNumberFormat="1" applyFont="1" applyBorder="1" applyAlignment="1">
      <alignment horizontal="center"/>
    </xf>
    <xf numFmtId="3" fontId="7" fillId="9" borderId="79" xfId="0" applyNumberFormat="1" applyFont="1" applyFill="1" applyBorder="1" applyAlignment="1">
      <alignment horizontal="center"/>
    </xf>
    <xf numFmtId="3" fontId="7" fillId="0" borderId="80" xfId="0" applyNumberFormat="1" applyFont="1" applyBorder="1" applyAlignment="1">
      <alignment horizontal="center"/>
    </xf>
    <xf numFmtId="3" fontId="7" fillId="8" borderId="6" xfId="0" applyNumberFormat="1" applyFont="1" applyFill="1" applyBorder="1" applyAlignment="1">
      <alignment horizontal="center" vertical="center"/>
    </xf>
    <xf numFmtId="3" fontId="7" fillId="9" borderId="6" xfId="0" applyNumberFormat="1" applyFont="1" applyFill="1" applyBorder="1" applyAlignment="1">
      <alignment horizontal="center" vertical="center"/>
    </xf>
    <xf numFmtId="3" fontId="9" fillId="7" borderId="6" xfId="0" applyNumberFormat="1" applyFont="1" applyFill="1" applyBorder="1" applyAlignment="1">
      <alignment horizontal="center" shrinkToFit="1"/>
    </xf>
    <xf numFmtId="3" fontId="7" fillId="8" borderId="6" xfId="0" applyNumberFormat="1" applyFont="1" applyFill="1" applyBorder="1" applyAlignment="1">
      <alignment horizontal="center" vertical="center" shrinkToFit="1"/>
    </xf>
    <xf numFmtId="3" fontId="7" fillId="8" borderId="6" xfId="0" applyNumberFormat="1" applyFont="1" applyFill="1" applyBorder="1" applyAlignment="1">
      <alignment horizontal="center"/>
    </xf>
    <xf numFmtId="3" fontId="7" fillId="8" borderId="6" xfId="0" applyNumberFormat="1" applyFont="1" applyFill="1" applyBorder="1" applyAlignment="1">
      <alignment horizontal="center"/>
    </xf>
    <xf numFmtId="3" fontId="7" fillId="0" borderId="81" xfId="0" applyNumberFormat="1" applyFont="1" applyBorder="1" applyAlignment="1">
      <alignment horizontal="left"/>
    </xf>
    <xf numFmtId="3" fontId="7" fillId="0" borderId="81" xfId="0" applyNumberFormat="1" applyFont="1" applyBorder="1" applyAlignment="1">
      <alignment horizontal="center"/>
    </xf>
    <xf numFmtId="3" fontId="7" fillId="9" borderId="81" xfId="0" applyNumberFormat="1" applyFont="1" applyFill="1" applyBorder="1" applyAlignment="1">
      <alignment horizontal="center"/>
    </xf>
    <xf numFmtId="3" fontId="7" fillId="0" borderId="81" xfId="0" applyNumberFormat="1" applyFont="1" applyBorder="1" applyAlignment="1">
      <alignment horizontal="left" indent="1"/>
    </xf>
    <xf numFmtId="3" fontId="7" fillId="8" borderId="82" xfId="0" applyNumberFormat="1" applyFont="1" applyFill="1" applyBorder="1" applyAlignment="1">
      <alignment horizontal="left"/>
    </xf>
    <xf numFmtId="3" fontId="7" fillId="8" borderId="82" xfId="0" applyNumberFormat="1" applyFont="1" applyFill="1" applyBorder="1" applyAlignment="1">
      <alignment horizontal="center"/>
    </xf>
    <xf numFmtId="3" fontId="7" fillId="0" borderId="83" xfId="0" applyNumberFormat="1" applyFont="1" applyBorder="1" applyAlignment="1">
      <alignment horizontal="left"/>
    </xf>
    <xf numFmtId="3" fontId="7" fillId="0" borderId="83" xfId="0" applyNumberFormat="1" applyFont="1" applyBorder="1" applyAlignment="1">
      <alignment horizontal="center"/>
    </xf>
    <xf numFmtId="3" fontId="7" fillId="9" borderId="83" xfId="0" applyNumberFormat="1" applyFont="1" applyFill="1" applyBorder="1" applyAlignment="1">
      <alignment horizontal="center"/>
    </xf>
    <xf numFmtId="3" fontId="9" fillId="7" borderId="6" xfId="0" applyNumberFormat="1" applyFont="1" applyFill="1" applyBorder="1" applyAlignment="1">
      <alignment horizontal="center"/>
    </xf>
    <xf numFmtId="3" fontId="7" fillId="8" borderId="6" xfId="0" applyNumberFormat="1" applyFont="1" applyFill="1" applyBorder="1" applyAlignment="1">
      <alignment horizontal="center" shrinkToFit="1"/>
    </xf>
    <xf numFmtId="3" fontId="35" fillId="7" borderId="6" xfId="0" applyNumberFormat="1" applyFont="1" applyFill="1" applyBorder="1" applyAlignment="1">
      <alignment horizontal="center" vertical="center"/>
    </xf>
    <xf numFmtId="0" fontId="36" fillId="0" borderId="0" xfId="0" applyFont="1"/>
    <xf numFmtId="0" fontId="37" fillId="0" borderId="0" xfId="0" applyFont="1"/>
    <xf numFmtId="0" fontId="34" fillId="0" borderId="0" xfId="0" applyFont="1"/>
    <xf numFmtId="187" fontId="37" fillId="0" borderId="0" xfId="0" applyNumberFormat="1" applyFont="1"/>
    <xf numFmtId="0" fontId="38" fillId="0" borderId="0" xfId="0" applyFont="1" applyAlignment="1">
      <alignment horizontal="right" vertical="top"/>
    </xf>
    <xf numFmtId="0" fontId="38" fillId="0" borderId="0" xfId="0" applyFont="1" applyAlignment="1"/>
    <xf numFmtId="0" fontId="33" fillId="0" borderId="0" xfId="0" applyFont="1"/>
    <xf numFmtId="0" fontId="33" fillId="0" borderId="0" xfId="0" applyFont="1" applyAlignment="1"/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39" fillId="0" borderId="0" xfId="0" applyFont="1"/>
    <xf numFmtId="0" fontId="39" fillId="0" borderId="0" xfId="0" applyFont="1" applyFill="1" applyAlignment="1">
      <alignment horizontal="center"/>
    </xf>
  </cellXfs>
  <cellStyles count="3">
    <cellStyle name="Normal 3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A%20JOB%20%202%20-55/&#3609;&#3636;&#3626;&#3636;&#3605;&#3614;&#3657;&#3609;&#3626;&#3616;&#3634;&#3614;/&#3614;&#3657;&#3609;&#3626;&#3616;&#3634;&#3614;%2055/&#3605;&#3634;&#3619;&#3634;&#3591;&#3614;&#3657;&#3609;&#3626;&#3616;&#3634;&#3614;%205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586;&#3657;&#3629;&#3617;&#3641;&#3621;&#3604;&#3636;&#3610;%20&#3614;&#3657;&#3609;&#3626;&#3606;&#3634;&#3614;&#3611;&#3605;&#3619;&#3637;%20&#3616;&#3634;&#3588;&#3611;&#3621;&#3634;&#3618;%202%205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ตรี"/>
      <sheetName val="ตรีก"/>
      <sheetName val="ตรีพิเศษ"/>
      <sheetName val="ป.ตรี เทียบเข้า"/>
      <sheetName val="ป.โท นอกเวลา"/>
      <sheetName val="ป.โท ในเวลา"/>
      <sheetName val="ป.เอก นอก"/>
      <sheetName val="ป.เอก ในเวลา"/>
      <sheetName val="จริง ในเล่ม me"/>
      <sheetName val="สรุป"/>
      <sheetName val="รวมตร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">
          <cell r="D7">
            <v>1372</v>
          </cell>
          <cell r="F7">
            <v>1042</v>
          </cell>
          <cell r="G7">
            <v>154</v>
          </cell>
          <cell r="H7">
            <v>186</v>
          </cell>
          <cell r="I7">
            <v>1</v>
          </cell>
          <cell r="K7">
            <v>0</v>
          </cell>
        </row>
      </sheetData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 เอก (2)"/>
      <sheetName val="เทียบเข้า (2)"/>
      <sheetName val="พิเศษ (2)"/>
      <sheetName val="ปกติ (2)"/>
      <sheetName val="สรุป 2 56"/>
      <sheetName val="สรุป1 2 56"/>
      <sheetName val="Sheet1"/>
      <sheetName val="Sheet2"/>
      <sheetName val="ป เอก"/>
      <sheetName val="ป โท"/>
      <sheetName val="ปกติ"/>
      <sheetName val="พิเศษ"/>
      <sheetName val="เทียบเข้า"/>
    </sheetNames>
    <sheetDataSet>
      <sheetData sheetId="0"/>
      <sheetData sheetId="1"/>
      <sheetData sheetId="2"/>
      <sheetData sheetId="3"/>
      <sheetData sheetId="4"/>
      <sheetData sheetId="5">
        <row r="116">
          <cell r="E116">
            <v>3231</v>
          </cell>
          <cell r="L116">
            <v>539</v>
          </cell>
        </row>
        <row r="117">
          <cell r="E117">
            <v>810</v>
          </cell>
          <cell r="L117">
            <v>369</v>
          </cell>
        </row>
        <row r="118">
          <cell r="E118">
            <v>126</v>
          </cell>
        </row>
        <row r="119">
          <cell r="E119">
            <v>644</v>
          </cell>
        </row>
        <row r="120">
          <cell r="E120">
            <v>72</v>
          </cell>
        </row>
        <row r="121">
          <cell r="E121">
            <v>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P151"/>
  <sheetViews>
    <sheetView view="pageBreakPreview" zoomScale="60" zoomScaleNormal="98" workbookViewId="0">
      <pane xSplit="3" ySplit="1" topLeftCell="D2" activePane="bottomRight" state="frozen"/>
      <selection activeCell="V120" sqref="V120"/>
      <selection pane="topRight" activeCell="V120" sqref="V120"/>
      <selection pane="bottomLeft" activeCell="V120" sqref="V120"/>
      <selection pane="bottomRight" activeCell="V120" sqref="V120"/>
    </sheetView>
  </sheetViews>
  <sheetFormatPr defaultRowHeight="15.75" x14ac:dyDescent="0.3"/>
  <cols>
    <col min="1" max="1" width="6.625" style="287" customWidth="1"/>
    <col min="2" max="2" width="9.875" style="165" customWidth="1"/>
    <col min="3" max="3" width="13.125" style="165" customWidth="1"/>
    <col min="4" max="4" width="7.375" style="165" customWidth="1"/>
    <col min="5" max="5" width="5.875" style="287" customWidth="1"/>
    <col min="6" max="6" width="5.75" style="287" customWidth="1"/>
    <col min="7" max="7" width="4.75" style="287" customWidth="1"/>
    <col min="8" max="8" width="4.875" style="287" customWidth="1"/>
    <col min="9" max="9" width="5" style="287" customWidth="1"/>
    <col min="10" max="12" width="4.125" style="287" customWidth="1"/>
    <col min="13" max="14" width="4.125" style="288" customWidth="1"/>
    <col min="15" max="15" width="4.125" style="287" customWidth="1"/>
    <col min="16" max="16384" width="9" style="165"/>
  </cols>
  <sheetData>
    <row r="1" spans="1:15" ht="21.75" x14ac:dyDescent="0.5">
      <c r="A1" s="160" t="s">
        <v>151</v>
      </c>
      <c r="B1" s="161"/>
      <c r="C1" s="161"/>
      <c r="D1" s="161"/>
      <c r="E1" s="162"/>
      <c r="F1" s="162"/>
      <c r="G1" s="162"/>
      <c r="H1" s="162"/>
      <c r="I1" s="162"/>
      <c r="J1" s="162"/>
      <c r="K1" s="162"/>
      <c r="L1" s="162"/>
      <c r="M1" s="163"/>
      <c r="N1" s="163"/>
      <c r="O1" s="164"/>
    </row>
    <row r="2" spans="1:15" ht="20.25" customHeight="1" x14ac:dyDescent="0.5">
      <c r="A2" s="166" t="s">
        <v>0</v>
      </c>
      <c r="B2" s="167"/>
      <c r="C2" s="167"/>
      <c r="D2" s="167"/>
      <c r="E2" s="168"/>
      <c r="F2" s="168"/>
      <c r="G2" s="168"/>
      <c r="H2" s="168"/>
      <c r="I2" s="168"/>
      <c r="J2" s="168"/>
      <c r="K2" s="168"/>
      <c r="L2" s="168"/>
      <c r="M2" s="169"/>
      <c r="N2" s="169"/>
      <c r="O2" s="170"/>
    </row>
    <row r="3" spans="1:15" ht="17.25" x14ac:dyDescent="0.4">
      <c r="A3" s="171" t="s">
        <v>152</v>
      </c>
      <c r="B3" s="171" t="s">
        <v>38</v>
      </c>
      <c r="C3" s="171" t="s">
        <v>1</v>
      </c>
      <c r="D3" s="171" t="s">
        <v>153</v>
      </c>
      <c r="E3" s="171" t="s">
        <v>2</v>
      </c>
      <c r="F3" s="289" t="s">
        <v>3</v>
      </c>
      <c r="G3" s="290"/>
      <c r="H3" s="290"/>
      <c r="I3" s="290"/>
      <c r="J3" s="290"/>
      <c r="K3" s="290"/>
      <c r="L3" s="290"/>
      <c r="M3" s="290"/>
      <c r="N3" s="290"/>
      <c r="O3" s="290"/>
    </row>
    <row r="4" spans="1:15" ht="17.25" x14ac:dyDescent="0.4">
      <c r="A4" s="172"/>
      <c r="B4" s="172"/>
      <c r="C4" s="172" t="s">
        <v>4</v>
      </c>
      <c r="D4" s="172" t="s">
        <v>5</v>
      </c>
      <c r="E4" s="172" t="s">
        <v>5</v>
      </c>
      <c r="F4" s="173" t="s">
        <v>6</v>
      </c>
      <c r="G4" s="173" t="s">
        <v>7</v>
      </c>
      <c r="H4" s="173" t="s">
        <v>8</v>
      </c>
      <c r="I4" s="173" t="s">
        <v>9</v>
      </c>
      <c r="J4" s="173" t="s">
        <v>10</v>
      </c>
      <c r="K4" s="173" t="s">
        <v>11</v>
      </c>
      <c r="L4" s="173" t="s">
        <v>12</v>
      </c>
      <c r="M4" s="173" t="s">
        <v>13</v>
      </c>
      <c r="N4" s="174" t="s">
        <v>14</v>
      </c>
      <c r="O4" s="175" t="s">
        <v>46</v>
      </c>
    </row>
    <row r="5" spans="1:15" ht="17.25" x14ac:dyDescent="0.4">
      <c r="A5" s="176"/>
      <c r="B5" s="176"/>
      <c r="C5" s="176" t="s">
        <v>16</v>
      </c>
      <c r="D5" s="176" t="s">
        <v>16</v>
      </c>
      <c r="E5" s="176"/>
      <c r="F5" s="177" t="s">
        <v>17</v>
      </c>
      <c r="G5" s="177" t="s">
        <v>18</v>
      </c>
      <c r="H5" s="177" t="s">
        <v>15</v>
      </c>
      <c r="I5" s="177" t="s">
        <v>19</v>
      </c>
      <c r="J5" s="178" t="s">
        <v>20</v>
      </c>
      <c r="K5" s="178" t="s">
        <v>21</v>
      </c>
      <c r="L5" s="178" t="s">
        <v>22</v>
      </c>
      <c r="M5" s="178" t="s">
        <v>23</v>
      </c>
      <c r="N5" s="178" t="s">
        <v>24</v>
      </c>
      <c r="O5" s="179" t="s">
        <v>47</v>
      </c>
    </row>
    <row r="6" spans="1:15" ht="17.25" hidden="1" x14ac:dyDescent="0.4">
      <c r="A6" s="180">
        <v>2548</v>
      </c>
      <c r="B6" s="180" t="s">
        <v>85</v>
      </c>
      <c r="C6" s="181">
        <f>+C7+C8+C9+C10</f>
        <v>29487</v>
      </c>
      <c r="D6" s="181">
        <f>SUM(D8+D9+D10)</f>
        <v>1772</v>
      </c>
      <c r="E6" s="182">
        <f>+D6*100/C6</f>
        <v>6.0094278834740731</v>
      </c>
      <c r="F6" s="183"/>
      <c r="G6" s="184">
        <f>+G8</f>
        <v>954</v>
      </c>
      <c r="H6" s="184">
        <f>+H9+H10</f>
        <v>145</v>
      </c>
      <c r="I6" s="184">
        <f>+I8</f>
        <v>546</v>
      </c>
      <c r="J6" s="184">
        <f>+J8</f>
        <v>73</v>
      </c>
      <c r="K6" s="184">
        <f>+K8+K9</f>
        <v>52</v>
      </c>
      <c r="L6" s="185" t="s">
        <v>46</v>
      </c>
      <c r="M6" s="185" t="s">
        <v>46</v>
      </c>
      <c r="N6" s="185" t="s">
        <v>46</v>
      </c>
      <c r="O6" s="185" t="s">
        <v>46</v>
      </c>
    </row>
    <row r="7" spans="1:15" ht="17.25" hidden="1" x14ac:dyDescent="0.4">
      <c r="A7" s="186"/>
      <c r="B7" s="187" t="s">
        <v>154</v>
      </c>
      <c r="C7" s="188">
        <v>59</v>
      </c>
      <c r="D7" s="189" t="s">
        <v>46</v>
      </c>
      <c r="E7" s="190" t="s">
        <v>46</v>
      </c>
      <c r="F7" s="191"/>
      <c r="G7" s="188" t="s">
        <v>46</v>
      </c>
      <c r="H7" s="188" t="s">
        <v>46</v>
      </c>
      <c r="I7" s="188" t="s">
        <v>46</v>
      </c>
      <c r="J7" s="188" t="s">
        <v>46</v>
      </c>
      <c r="K7" s="188" t="s">
        <v>46</v>
      </c>
      <c r="L7" s="188" t="s">
        <v>46</v>
      </c>
      <c r="M7" s="192" t="s">
        <v>46</v>
      </c>
      <c r="N7" s="192" t="s">
        <v>46</v>
      </c>
      <c r="O7" s="192" t="s">
        <v>46</v>
      </c>
    </row>
    <row r="8" spans="1:15" ht="17.25" hidden="1" x14ac:dyDescent="0.4">
      <c r="A8" s="193"/>
      <c r="B8" s="194" t="s">
        <v>155</v>
      </c>
      <c r="C8" s="195">
        <f>14696+9150</f>
        <v>23846</v>
      </c>
      <c r="D8" s="195">
        <f>+G8+I8+J8+K8</f>
        <v>1622</v>
      </c>
      <c r="E8" s="196">
        <f>+D8*100/C8</f>
        <v>6.8019793676088236</v>
      </c>
      <c r="F8" s="197"/>
      <c r="G8" s="195">
        <v>954</v>
      </c>
      <c r="H8" s="195" t="s">
        <v>46</v>
      </c>
      <c r="I8" s="195">
        <v>546</v>
      </c>
      <c r="J8" s="195">
        <v>73</v>
      </c>
      <c r="K8" s="195">
        <v>49</v>
      </c>
      <c r="L8" s="195" t="s">
        <v>46</v>
      </c>
      <c r="M8" s="198" t="s">
        <v>46</v>
      </c>
      <c r="N8" s="198" t="s">
        <v>46</v>
      </c>
      <c r="O8" s="198" t="s">
        <v>46</v>
      </c>
    </row>
    <row r="9" spans="1:15" ht="17.25" hidden="1" x14ac:dyDescent="0.4">
      <c r="A9" s="193"/>
      <c r="B9" s="194" t="s">
        <v>156</v>
      </c>
      <c r="C9" s="195">
        <f>291+5087</f>
        <v>5378</v>
      </c>
      <c r="D9" s="195">
        <v>143</v>
      </c>
      <c r="E9" s="196">
        <f>+D9*100/C9</f>
        <v>2.6589810338415769</v>
      </c>
      <c r="F9" s="197"/>
      <c r="G9" s="195" t="s">
        <v>46</v>
      </c>
      <c r="H9" s="195">
        <v>138</v>
      </c>
      <c r="I9" s="195" t="s">
        <v>46</v>
      </c>
      <c r="J9" s="195" t="s">
        <v>46</v>
      </c>
      <c r="K9" s="195">
        <v>3</v>
      </c>
      <c r="L9" s="195" t="s">
        <v>46</v>
      </c>
      <c r="M9" s="198" t="s">
        <v>46</v>
      </c>
      <c r="N9" s="198" t="s">
        <v>46</v>
      </c>
      <c r="O9" s="198" t="s">
        <v>46</v>
      </c>
    </row>
    <row r="10" spans="1:15" ht="17.25" hidden="1" x14ac:dyDescent="0.4">
      <c r="A10" s="199"/>
      <c r="B10" s="200" t="s">
        <v>157</v>
      </c>
      <c r="C10" s="201">
        <v>204</v>
      </c>
      <c r="D10" s="201">
        <v>7</v>
      </c>
      <c r="E10" s="202">
        <f>+D10*100/C10</f>
        <v>3.4313725490196076</v>
      </c>
      <c r="F10" s="203"/>
      <c r="G10" s="201" t="s">
        <v>46</v>
      </c>
      <c r="H10" s="201">
        <v>7</v>
      </c>
      <c r="I10" s="201" t="s">
        <v>46</v>
      </c>
      <c r="J10" s="201" t="s">
        <v>46</v>
      </c>
      <c r="K10" s="201" t="s">
        <v>46</v>
      </c>
      <c r="L10" s="201" t="s">
        <v>46</v>
      </c>
      <c r="M10" s="204" t="s">
        <v>46</v>
      </c>
      <c r="N10" s="204" t="s">
        <v>46</v>
      </c>
      <c r="O10" s="204" t="s">
        <v>46</v>
      </c>
    </row>
    <row r="11" spans="1:15" s="210" customFormat="1" ht="17.25" hidden="1" x14ac:dyDescent="0.4">
      <c r="A11" s="205">
        <v>2549</v>
      </c>
      <c r="B11" s="205" t="s">
        <v>85</v>
      </c>
      <c r="C11" s="206">
        <f>+C12+C13+C14+C15</f>
        <v>32647</v>
      </c>
      <c r="D11" s="206">
        <v>1944</v>
      </c>
      <c r="E11" s="207">
        <v>5.96</v>
      </c>
      <c r="F11" s="208"/>
      <c r="G11" s="206">
        <f>+G13</f>
        <v>1036</v>
      </c>
      <c r="H11" s="209">
        <f>+H14+H15</f>
        <v>114</v>
      </c>
      <c r="I11" s="209">
        <f>+I13</f>
        <v>670</v>
      </c>
      <c r="J11" s="209">
        <f>+J13</f>
        <v>72</v>
      </c>
      <c r="K11" s="209">
        <f>+K13+K14</f>
        <v>51</v>
      </c>
      <c r="L11" s="209" t="s">
        <v>46</v>
      </c>
      <c r="M11" s="209" t="s">
        <v>46</v>
      </c>
      <c r="N11" s="209" t="s">
        <v>46</v>
      </c>
      <c r="O11" s="209" t="s">
        <v>46</v>
      </c>
    </row>
    <row r="12" spans="1:15" s="211" customFormat="1" ht="17.25" hidden="1" x14ac:dyDescent="0.4">
      <c r="A12" s="186"/>
      <c r="B12" s="187" t="s">
        <v>154</v>
      </c>
      <c r="C12" s="188">
        <v>62</v>
      </c>
      <c r="D12" s="189" t="s">
        <v>46</v>
      </c>
      <c r="E12" s="190" t="s">
        <v>46</v>
      </c>
      <c r="F12" s="191"/>
      <c r="G12" s="188" t="s">
        <v>46</v>
      </c>
      <c r="H12" s="188" t="s">
        <v>46</v>
      </c>
      <c r="I12" s="188" t="s">
        <v>46</v>
      </c>
      <c r="J12" s="188" t="s">
        <v>46</v>
      </c>
      <c r="K12" s="188" t="s">
        <v>46</v>
      </c>
      <c r="L12" s="188" t="s">
        <v>46</v>
      </c>
      <c r="M12" s="192" t="s">
        <v>46</v>
      </c>
      <c r="N12" s="192" t="s">
        <v>46</v>
      </c>
      <c r="O12" s="192" t="s">
        <v>46</v>
      </c>
    </row>
    <row r="13" spans="1:15" s="212" customFormat="1" ht="15.95" hidden="1" customHeight="1" x14ac:dyDescent="0.4">
      <c r="A13" s="193"/>
      <c r="B13" s="194" t="s">
        <v>155</v>
      </c>
      <c r="C13" s="195">
        <f>18155+8478</f>
        <v>26633</v>
      </c>
      <c r="D13" s="195">
        <f>+G13+I13+J13+K13</f>
        <v>1828</v>
      </c>
      <c r="E13" s="196">
        <f>+D13*100/C13</f>
        <v>6.8636653775391432</v>
      </c>
      <c r="F13" s="197"/>
      <c r="G13" s="195">
        <v>1036</v>
      </c>
      <c r="H13" s="195" t="s">
        <v>46</v>
      </c>
      <c r="I13" s="195">
        <v>670</v>
      </c>
      <c r="J13" s="195">
        <v>72</v>
      </c>
      <c r="K13" s="195">
        <v>50</v>
      </c>
      <c r="L13" s="195" t="s">
        <v>46</v>
      </c>
      <c r="M13" s="198" t="s">
        <v>46</v>
      </c>
      <c r="N13" s="198" t="s">
        <v>46</v>
      </c>
      <c r="O13" s="198" t="s">
        <v>46</v>
      </c>
    </row>
    <row r="14" spans="1:15" s="212" customFormat="1" ht="15.95" hidden="1" customHeight="1" x14ac:dyDescent="0.4">
      <c r="A14" s="193"/>
      <c r="B14" s="194" t="s">
        <v>156</v>
      </c>
      <c r="C14" s="195">
        <f>378+5101</f>
        <v>5479</v>
      </c>
      <c r="D14" s="195">
        <v>110</v>
      </c>
      <c r="E14" s="196">
        <f>+D14*100/C14</f>
        <v>2.0076656324146742</v>
      </c>
      <c r="F14" s="197"/>
      <c r="G14" s="195" t="s">
        <v>46</v>
      </c>
      <c r="H14" s="195">
        <v>108</v>
      </c>
      <c r="I14" s="195" t="s">
        <v>46</v>
      </c>
      <c r="J14" s="195" t="s">
        <v>46</v>
      </c>
      <c r="K14" s="195">
        <v>1</v>
      </c>
      <c r="L14" s="195" t="s">
        <v>46</v>
      </c>
      <c r="M14" s="198" t="s">
        <v>46</v>
      </c>
      <c r="N14" s="198" t="s">
        <v>46</v>
      </c>
      <c r="O14" s="198" t="s">
        <v>46</v>
      </c>
    </row>
    <row r="15" spans="1:15" s="212" customFormat="1" ht="15.75" hidden="1" customHeight="1" x14ac:dyDescent="0.4">
      <c r="A15" s="199"/>
      <c r="B15" s="200" t="s">
        <v>157</v>
      </c>
      <c r="C15" s="201">
        <v>473</v>
      </c>
      <c r="D15" s="201">
        <v>6</v>
      </c>
      <c r="E15" s="202">
        <f>+D15*100/C15</f>
        <v>1.2684989429175475</v>
      </c>
      <c r="F15" s="203"/>
      <c r="G15" s="201" t="s">
        <v>46</v>
      </c>
      <c r="H15" s="201">
        <v>6</v>
      </c>
      <c r="I15" s="201" t="s">
        <v>46</v>
      </c>
      <c r="J15" s="201" t="s">
        <v>46</v>
      </c>
      <c r="K15" s="201" t="s">
        <v>46</v>
      </c>
      <c r="L15" s="201" t="s">
        <v>46</v>
      </c>
      <c r="M15" s="204" t="s">
        <v>46</v>
      </c>
      <c r="N15" s="204" t="s">
        <v>46</v>
      </c>
      <c r="O15" s="204" t="s">
        <v>46</v>
      </c>
    </row>
    <row r="16" spans="1:15" s="212" customFormat="1" ht="15.95" hidden="1" customHeight="1" x14ac:dyDescent="0.4">
      <c r="A16" s="213">
        <v>2550</v>
      </c>
      <c r="B16" s="213" t="s">
        <v>85</v>
      </c>
      <c r="C16" s="214">
        <f>SUM(C17:C21)</f>
        <v>37410</v>
      </c>
      <c r="D16" s="214">
        <f>SUM(D17:D21)</f>
        <v>3041</v>
      </c>
      <c r="E16" s="215">
        <f>+D16*100/C16</f>
        <v>8.1288425554664521</v>
      </c>
      <c r="F16" s="216"/>
      <c r="G16" s="214">
        <f>+G19+G20</f>
        <v>1154</v>
      </c>
      <c r="H16" s="217">
        <f>+H19+H20+H21</f>
        <v>763</v>
      </c>
      <c r="I16" s="217">
        <f>+I19</f>
        <v>894</v>
      </c>
      <c r="J16" s="217">
        <f>+J19</f>
        <v>111</v>
      </c>
      <c r="K16" s="217">
        <f>+K19</f>
        <v>117</v>
      </c>
      <c r="L16" s="217">
        <f>+L19</f>
        <v>2</v>
      </c>
      <c r="M16" s="217" t="s">
        <v>46</v>
      </c>
      <c r="N16" s="217" t="s">
        <v>46</v>
      </c>
      <c r="O16" s="217" t="s">
        <v>46</v>
      </c>
    </row>
    <row r="17" spans="1:16" s="222" customFormat="1" ht="15.95" hidden="1" customHeight="1" x14ac:dyDescent="0.4">
      <c r="A17" s="218"/>
      <c r="B17" s="219" t="s">
        <v>158</v>
      </c>
      <c r="C17" s="220">
        <v>122</v>
      </c>
      <c r="D17" s="220" t="s">
        <v>46</v>
      </c>
      <c r="E17" s="220" t="s">
        <v>46</v>
      </c>
      <c r="F17" s="220" t="s">
        <v>46</v>
      </c>
      <c r="G17" s="220" t="s">
        <v>46</v>
      </c>
      <c r="H17" s="220" t="s">
        <v>46</v>
      </c>
      <c r="I17" s="220" t="s">
        <v>46</v>
      </c>
      <c r="J17" s="220" t="s">
        <v>46</v>
      </c>
      <c r="K17" s="220" t="s">
        <v>46</v>
      </c>
      <c r="L17" s="220" t="s">
        <v>46</v>
      </c>
      <c r="M17" s="221" t="s">
        <v>46</v>
      </c>
      <c r="N17" s="221" t="s">
        <v>46</v>
      </c>
      <c r="O17" s="221" t="s">
        <v>46</v>
      </c>
    </row>
    <row r="18" spans="1:16" s="222" customFormat="1" ht="15.95" hidden="1" customHeight="1" x14ac:dyDescent="0.4">
      <c r="A18" s="223"/>
      <c r="B18" s="224" t="s">
        <v>154</v>
      </c>
      <c r="C18" s="225">
        <v>69</v>
      </c>
      <c r="D18" s="225" t="s">
        <v>46</v>
      </c>
      <c r="E18" s="225" t="s">
        <v>46</v>
      </c>
      <c r="F18" s="225" t="s">
        <v>46</v>
      </c>
      <c r="G18" s="225" t="s">
        <v>46</v>
      </c>
      <c r="H18" s="225" t="s">
        <v>46</v>
      </c>
      <c r="I18" s="225" t="s">
        <v>46</v>
      </c>
      <c r="J18" s="225" t="s">
        <v>46</v>
      </c>
      <c r="K18" s="225" t="s">
        <v>46</v>
      </c>
      <c r="L18" s="225" t="s">
        <v>46</v>
      </c>
      <c r="M18" s="226" t="s">
        <v>46</v>
      </c>
      <c r="N18" s="226" t="s">
        <v>46</v>
      </c>
      <c r="O18" s="226" t="s">
        <v>46</v>
      </c>
    </row>
    <row r="19" spans="1:16" s="222" customFormat="1" ht="15.95" hidden="1" customHeight="1" x14ac:dyDescent="0.4">
      <c r="A19" s="223"/>
      <c r="B19" s="227" t="s">
        <v>155</v>
      </c>
      <c r="C19" s="225">
        <v>31410</v>
      </c>
      <c r="D19" s="225">
        <v>2166</v>
      </c>
      <c r="E19" s="228">
        <f>+D19*100/C19</f>
        <v>6.8958930276981851</v>
      </c>
      <c r="F19" s="225" t="s">
        <v>46</v>
      </c>
      <c r="G19" s="225">
        <v>1041</v>
      </c>
      <c r="H19" s="225">
        <v>1</v>
      </c>
      <c r="I19" s="225">
        <v>894</v>
      </c>
      <c r="J19" s="225">
        <v>111</v>
      </c>
      <c r="K19" s="225">
        <v>117</v>
      </c>
      <c r="L19" s="225">
        <v>2</v>
      </c>
      <c r="M19" s="226" t="s">
        <v>46</v>
      </c>
      <c r="N19" s="226" t="s">
        <v>46</v>
      </c>
      <c r="O19" s="226" t="s">
        <v>46</v>
      </c>
    </row>
    <row r="20" spans="1:16" s="222" customFormat="1" ht="15.95" hidden="1" customHeight="1" x14ac:dyDescent="0.4">
      <c r="A20" s="223"/>
      <c r="B20" s="227" t="s">
        <v>156</v>
      </c>
      <c r="C20" s="225">
        <v>5275</v>
      </c>
      <c r="D20" s="225">
        <v>782</v>
      </c>
      <c r="E20" s="228">
        <f>+D20*100/C20</f>
        <v>14.824644549763033</v>
      </c>
      <c r="F20" s="225" t="s">
        <v>46</v>
      </c>
      <c r="G20" s="225">
        <v>113</v>
      </c>
      <c r="H20" s="225">
        <v>669</v>
      </c>
      <c r="I20" s="225" t="s">
        <v>46</v>
      </c>
      <c r="J20" s="225" t="s">
        <v>46</v>
      </c>
      <c r="K20" s="225" t="s">
        <v>46</v>
      </c>
      <c r="L20" s="225" t="s">
        <v>46</v>
      </c>
      <c r="M20" s="226" t="s">
        <v>46</v>
      </c>
      <c r="N20" s="226" t="s">
        <v>46</v>
      </c>
      <c r="O20" s="226" t="s">
        <v>46</v>
      </c>
    </row>
    <row r="21" spans="1:16" s="212" customFormat="1" ht="15.95" hidden="1" customHeight="1" x14ac:dyDescent="0.4">
      <c r="A21" s="229"/>
      <c r="B21" s="230" t="s">
        <v>157</v>
      </c>
      <c r="C21" s="231">
        <v>534</v>
      </c>
      <c r="D21" s="231">
        <v>93</v>
      </c>
      <c r="E21" s="232">
        <f>+D21*100/C21</f>
        <v>17.415730337078653</v>
      </c>
      <c r="F21" s="225" t="s">
        <v>46</v>
      </c>
      <c r="G21" s="231" t="s">
        <v>46</v>
      </c>
      <c r="H21" s="231">
        <v>93</v>
      </c>
      <c r="I21" s="231" t="s">
        <v>46</v>
      </c>
      <c r="J21" s="231" t="s">
        <v>46</v>
      </c>
      <c r="K21" s="231" t="s">
        <v>46</v>
      </c>
      <c r="L21" s="231" t="s">
        <v>46</v>
      </c>
      <c r="M21" s="233" t="s">
        <v>46</v>
      </c>
      <c r="N21" s="233" t="s">
        <v>46</v>
      </c>
      <c r="O21" s="233" t="s">
        <v>46</v>
      </c>
    </row>
    <row r="22" spans="1:16" s="222" customFormat="1" ht="15.95" customHeight="1" x14ac:dyDescent="0.4">
      <c r="A22" s="213">
        <v>2551</v>
      </c>
      <c r="B22" s="213" t="s">
        <v>85</v>
      </c>
      <c r="C22" s="214">
        <f>SUM(C23:C27)</f>
        <v>40238</v>
      </c>
      <c r="D22" s="214">
        <f>SUM(D23:D27)</f>
        <v>2381</v>
      </c>
      <c r="E22" s="215">
        <f>+D22*100/C22</f>
        <v>5.9172921119339925</v>
      </c>
      <c r="F22" s="216"/>
      <c r="G22" s="214">
        <f>+G23+G25+G26+G27</f>
        <v>952</v>
      </c>
      <c r="H22" s="214">
        <f>+H25+H26+H27</f>
        <v>356</v>
      </c>
      <c r="I22" s="214">
        <f>+I23+I25</f>
        <v>888</v>
      </c>
      <c r="J22" s="214">
        <f>+J25+J26</f>
        <v>84</v>
      </c>
      <c r="K22" s="214">
        <f>+K25</f>
        <v>98</v>
      </c>
      <c r="L22" s="214">
        <f>+L25</f>
        <v>3</v>
      </c>
      <c r="M22" s="217" t="s">
        <v>46</v>
      </c>
      <c r="N22" s="217" t="s">
        <v>46</v>
      </c>
      <c r="O22" s="217" t="s">
        <v>46</v>
      </c>
    </row>
    <row r="23" spans="1:16" s="222" customFormat="1" ht="15.95" customHeight="1" x14ac:dyDescent="0.4">
      <c r="A23" s="218"/>
      <c r="B23" s="219" t="s">
        <v>158</v>
      </c>
      <c r="C23" s="220">
        <v>97</v>
      </c>
      <c r="D23" s="220">
        <v>4</v>
      </c>
      <c r="E23" s="234">
        <f>+D23*100/C23</f>
        <v>4.1237113402061851</v>
      </c>
      <c r="F23" s="220" t="s">
        <v>46</v>
      </c>
      <c r="G23" s="220">
        <v>3</v>
      </c>
      <c r="H23" s="220" t="s">
        <v>46</v>
      </c>
      <c r="I23" s="220">
        <v>1</v>
      </c>
      <c r="J23" s="220" t="s">
        <v>46</v>
      </c>
      <c r="K23" s="220" t="s">
        <v>46</v>
      </c>
      <c r="L23" s="220" t="s">
        <v>46</v>
      </c>
      <c r="M23" s="221" t="s">
        <v>46</v>
      </c>
      <c r="N23" s="221" t="s">
        <v>46</v>
      </c>
      <c r="O23" s="221" t="s">
        <v>46</v>
      </c>
    </row>
    <row r="24" spans="1:16" s="222" customFormat="1" ht="15.95" customHeight="1" x14ac:dyDescent="0.4">
      <c r="A24" s="223"/>
      <c r="B24" s="224" t="s">
        <v>154</v>
      </c>
      <c r="C24" s="225">
        <v>90</v>
      </c>
      <c r="D24" s="225" t="s">
        <v>46</v>
      </c>
      <c r="E24" s="225" t="s">
        <v>46</v>
      </c>
      <c r="F24" s="225" t="s">
        <v>46</v>
      </c>
      <c r="G24" s="225" t="s">
        <v>46</v>
      </c>
      <c r="H24" s="225" t="s">
        <v>46</v>
      </c>
      <c r="I24" s="225" t="s">
        <v>46</v>
      </c>
      <c r="J24" s="225" t="s">
        <v>46</v>
      </c>
      <c r="K24" s="225" t="s">
        <v>46</v>
      </c>
      <c r="L24" s="225" t="s">
        <v>46</v>
      </c>
      <c r="M24" s="226" t="s">
        <v>46</v>
      </c>
      <c r="N24" s="226" t="s">
        <v>46</v>
      </c>
      <c r="O24" s="226" t="s">
        <v>46</v>
      </c>
    </row>
    <row r="25" spans="1:16" s="222" customFormat="1" ht="15.95" customHeight="1" x14ac:dyDescent="0.4">
      <c r="A25" s="223"/>
      <c r="B25" s="227" t="s">
        <v>155</v>
      </c>
      <c r="C25" s="225">
        <v>33216</v>
      </c>
      <c r="D25" s="225">
        <v>1757</v>
      </c>
      <c r="E25" s="228">
        <f t="shared" ref="E25:E33" si="0">+D25*100/C25</f>
        <v>5.2896194605009637</v>
      </c>
      <c r="F25" s="225" t="s">
        <v>46</v>
      </c>
      <c r="G25" s="225">
        <v>689</v>
      </c>
      <c r="H25" s="225">
        <v>1</v>
      </c>
      <c r="I25" s="225">
        <v>887</v>
      </c>
      <c r="J25" s="225">
        <v>79</v>
      </c>
      <c r="K25" s="225">
        <v>98</v>
      </c>
      <c r="L25" s="225">
        <v>3</v>
      </c>
      <c r="M25" s="226" t="s">
        <v>46</v>
      </c>
      <c r="N25" s="226" t="s">
        <v>46</v>
      </c>
      <c r="O25" s="226" t="s">
        <v>46</v>
      </c>
    </row>
    <row r="26" spans="1:16" s="212" customFormat="1" ht="15.95" customHeight="1" x14ac:dyDescent="0.4">
      <c r="A26" s="223"/>
      <c r="B26" s="227" t="s">
        <v>156</v>
      </c>
      <c r="C26" s="225">
        <v>6139</v>
      </c>
      <c r="D26" s="225">
        <v>568</v>
      </c>
      <c r="E26" s="228">
        <f t="shared" si="0"/>
        <v>9.2523212249552049</v>
      </c>
      <c r="F26" s="225" t="s">
        <v>46</v>
      </c>
      <c r="G26" s="225">
        <v>229</v>
      </c>
      <c r="H26" s="225">
        <v>334</v>
      </c>
      <c r="I26" s="225" t="s">
        <v>46</v>
      </c>
      <c r="J26" s="225">
        <v>5</v>
      </c>
      <c r="K26" s="225" t="s">
        <v>46</v>
      </c>
      <c r="L26" s="225" t="s">
        <v>46</v>
      </c>
      <c r="M26" s="226" t="s">
        <v>46</v>
      </c>
      <c r="N26" s="226" t="s">
        <v>46</v>
      </c>
      <c r="O26" s="226" t="s">
        <v>46</v>
      </c>
    </row>
    <row r="27" spans="1:16" s="222" customFormat="1" ht="15.95" customHeight="1" x14ac:dyDescent="0.4">
      <c r="A27" s="229"/>
      <c r="B27" s="230" t="s">
        <v>157</v>
      </c>
      <c r="C27" s="231">
        <v>696</v>
      </c>
      <c r="D27" s="231">
        <v>52</v>
      </c>
      <c r="E27" s="232">
        <f t="shared" si="0"/>
        <v>7.4712643678160919</v>
      </c>
      <c r="F27" s="225" t="s">
        <v>46</v>
      </c>
      <c r="G27" s="231">
        <v>31</v>
      </c>
      <c r="H27" s="231">
        <v>21</v>
      </c>
      <c r="I27" s="231" t="s">
        <v>46</v>
      </c>
      <c r="J27" s="231" t="s">
        <v>46</v>
      </c>
      <c r="K27" s="231" t="s">
        <v>46</v>
      </c>
      <c r="L27" s="231" t="s">
        <v>46</v>
      </c>
      <c r="M27" s="233" t="s">
        <v>46</v>
      </c>
      <c r="N27" s="233" t="s">
        <v>46</v>
      </c>
      <c r="O27" s="233" t="s">
        <v>46</v>
      </c>
    </row>
    <row r="28" spans="1:16" s="222" customFormat="1" ht="15.95" customHeight="1" x14ac:dyDescent="0.4">
      <c r="A28" s="213">
        <v>2552</v>
      </c>
      <c r="B28" s="213" t="s">
        <v>85</v>
      </c>
      <c r="C28" s="214">
        <f>SUM(C29:C33)</f>
        <v>42521</v>
      </c>
      <c r="D28" s="214">
        <f>SUM(D29:D33)</f>
        <v>2558</v>
      </c>
      <c r="E28" s="215">
        <f t="shared" si="0"/>
        <v>6.0158509912748999</v>
      </c>
      <c r="F28" s="216"/>
      <c r="G28" s="214">
        <f>SUM(G29+G31)</f>
        <v>875</v>
      </c>
      <c r="H28" s="214">
        <f>SUM(H32+H33)</f>
        <v>484</v>
      </c>
      <c r="I28" s="214">
        <f>SUM(I31)</f>
        <v>943</v>
      </c>
      <c r="J28" s="214">
        <f>SUM(J31+J32)</f>
        <v>116</v>
      </c>
      <c r="K28" s="214">
        <f>SUM(K31)</f>
        <v>127</v>
      </c>
      <c r="L28" s="214">
        <f>SUM(L31)</f>
        <v>4</v>
      </c>
      <c r="M28" s="217" t="s">
        <v>46</v>
      </c>
      <c r="N28" s="217" t="s">
        <v>46</v>
      </c>
      <c r="O28" s="217">
        <f>SUM(O30)</f>
        <v>9</v>
      </c>
      <c r="P28" s="235"/>
    </row>
    <row r="29" spans="1:16" s="222" customFormat="1" ht="15.95" customHeight="1" x14ac:dyDescent="0.4">
      <c r="A29" s="218"/>
      <c r="B29" s="219" t="s">
        <v>158</v>
      </c>
      <c r="C29" s="220">
        <v>34</v>
      </c>
      <c r="D29" s="220">
        <v>1</v>
      </c>
      <c r="E29" s="234">
        <f t="shared" si="0"/>
        <v>2.9411764705882355</v>
      </c>
      <c r="F29" s="220" t="s">
        <v>46</v>
      </c>
      <c r="G29" s="220">
        <v>1</v>
      </c>
      <c r="H29" s="220"/>
      <c r="I29" s="220" t="s">
        <v>46</v>
      </c>
      <c r="J29" s="220" t="s">
        <v>46</v>
      </c>
      <c r="K29" s="220" t="s">
        <v>46</v>
      </c>
      <c r="L29" s="220" t="s">
        <v>46</v>
      </c>
      <c r="M29" s="220" t="s">
        <v>46</v>
      </c>
      <c r="N29" s="220" t="s">
        <v>46</v>
      </c>
      <c r="O29" s="220" t="s">
        <v>46</v>
      </c>
    </row>
    <row r="30" spans="1:16" s="222" customFormat="1" ht="15.95" customHeight="1" x14ac:dyDescent="0.4">
      <c r="A30" s="223"/>
      <c r="B30" s="224" t="s">
        <v>154</v>
      </c>
      <c r="C30" s="225">
        <v>259</v>
      </c>
      <c r="D30" s="225">
        <v>9</v>
      </c>
      <c r="E30" s="228">
        <f t="shared" si="0"/>
        <v>3.4749034749034751</v>
      </c>
      <c r="F30" s="225" t="s">
        <v>46</v>
      </c>
      <c r="G30" s="225" t="s">
        <v>46</v>
      </c>
      <c r="H30" s="225" t="s">
        <v>46</v>
      </c>
      <c r="I30" s="225" t="s">
        <v>46</v>
      </c>
      <c r="J30" s="225" t="s">
        <v>46</v>
      </c>
      <c r="K30" s="225" t="s">
        <v>46</v>
      </c>
      <c r="L30" s="225" t="s">
        <v>46</v>
      </c>
      <c r="M30" s="225" t="s">
        <v>46</v>
      </c>
      <c r="N30" s="225" t="s">
        <v>46</v>
      </c>
      <c r="O30" s="225">
        <v>9</v>
      </c>
      <c r="P30" s="235"/>
    </row>
    <row r="31" spans="1:16" s="222" customFormat="1" ht="15.95" customHeight="1" x14ac:dyDescent="0.4">
      <c r="A31" s="223"/>
      <c r="B31" s="227" t="s">
        <v>155</v>
      </c>
      <c r="C31" s="225">
        <v>34628</v>
      </c>
      <c r="D31" s="225">
        <v>2060</v>
      </c>
      <c r="E31" s="228">
        <f t="shared" si="0"/>
        <v>5.948943051865542</v>
      </c>
      <c r="F31" s="225" t="s">
        <v>46</v>
      </c>
      <c r="G31" s="225">
        <v>874</v>
      </c>
      <c r="H31" s="225" t="s">
        <v>46</v>
      </c>
      <c r="I31" s="225">
        <v>943</v>
      </c>
      <c r="J31" s="225">
        <v>112</v>
      </c>
      <c r="K31" s="225">
        <v>127</v>
      </c>
      <c r="L31" s="225">
        <v>4</v>
      </c>
      <c r="M31" s="225" t="s">
        <v>46</v>
      </c>
      <c r="N31" s="225" t="s">
        <v>46</v>
      </c>
      <c r="O31" s="225" t="s">
        <v>46</v>
      </c>
      <c r="P31" s="235"/>
    </row>
    <row r="32" spans="1:16" s="212" customFormat="1" ht="15.95" customHeight="1" x14ac:dyDescent="0.4">
      <c r="A32" s="223"/>
      <c r="B32" s="227" t="s">
        <v>156</v>
      </c>
      <c r="C32" s="225">
        <v>6785</v>
      </c>
      <c r="D32" s="225">
        <v>428</v>
      </c>
      <c r="E32" s="228">
        <f t="shared" si="0"/>
        <v>6.3080324244657335</v>
      </c>
      <c r="F32" s="225" t="s">
        <v>46</v>
      </c>
      <c r="G32" s="225" t="s">
        <v>46</v>
      </c>
      <c r="H32" s="225">
        <v>424</v>
      </c>
      <c r="I32" s="225" t="s">
        <v>46</v>
      </c>
      <c r="J32" s="225">
        <v>4</v>
      </c>
      <c r="K32" s="225" t="s">
        <v>46</v>
      </c>
      <c r="L32" s="225" t="s">
        <v>46</v>
      </c>
      <c r="M32" s="225" t="s">
        <v>46</v>
      </c>
      <c r="N32" s="225" t="s">
        <v>46</v>
      </c>
      <c r="O32" s="225" t="s">
        <v>46</v>
      </c>
    </row>
    <row r="33" spans="1:15" s="222" customFormat="1" ht="15.95" customHeight="1" x14ac:dyDescent="0.4">
      <c r="A33" s="229"/>
      <c r="B33" s="230" t="s">
        <v>157</v>
      </c>
      <c r="C33" s="231">
        <v>815</v>
      </c>
      <c r="D33" s="231">
        <v>60</v>
      </c>
      <c r="E33" s="232">
        <f t="shared" si="0"/>
        <v>7.3619631901840492</v>
      </c>
      <c r="F33" s="225" t="s">
        <v>46</v>
      </c>
      <c r="G33" s="231" t="s">
        <v>46</v>
      </c>
      <c r="H33" s="231">
        <v>60</v>
      </c>
      <c r="I33" s="231" t="s">
        <v>46</v>
      </c>
      <c r="J33" s="231" t="s">
        <v>46</v>
      </c>
      <c r="K33" s="231" t="s">
        <v>46</v>
      </c>
      <c r="L33" s="231" t="s">
        <v>46</v>
      </c>
      <c r="M33" s="231" t="s">
        <v>46</v>
      </c>
      <c r="N33" s="231" t="s">
        <v>46</v>
      </c>
      <c r="O33" s="231" t="s">
        <v>46</v>
      </c>
    </row>
    <row r="34" spans="1:15" s="222" customFormat="1" ht="15.95" customHeight="1" x14ac:dyDescent="0.4">
      <c r="A34" s="236">
        <v>2553</v>
      </c>
      <c r="B34" s="236" t="s">
        <v>85</v>
      </c>
      <c r="C34" s="237">
        <v>44578</v>
      </c>
      <c r="D34" s="237">
        <f>SUM(D35:D39)</f>
        <v>2772</v>
      </c>
      <c r="E34" s="215">
        <f>SUM(D34*100/C34)</f>
        <v>6.2183139665305758</v>
      </c>
      <c r="F34" s="238"/>
      <c r="G34" s="237">
        <f>SUM(G35:G39)</f>
        <v>1084</v>
      </c>
      <c r="H34" s="237">
        <f>SUM(H35:H39)</f>
        <v>530</v>
      </c>
      <c r="I34" s="237">
        <f>SUM(I35:I39)</f>
        <v>871</v>
      </c>
      <c r="J34" s="237">
        <f>SUM(J35:J39)</f>
        <v>93</v>
      </c>
      <c r="K34" s="237">
        <f>SUM(K35:K39)</f>
        <v>185</v>
      </c>
      <c r="L34" s="217" t="s">
        <v>46</v>
      </c>
      <c r="M34" s="239">
        <f>SUM(M35:M39)</f>
        <v>7</v>
      </c>
      <c r="N34" s="239">
        <f>SUM(N35:N39)</f>
        <v>2</v>
      </c>
      <c r="O34" s="217" t="s">
        <v>46</v>
      </c>
    </row>
    <row r="35" spans="1:15" s="222" customFormat="1" ht="15.95" customHeight="1" x14ac:dyDescent="0.4">
      <c r="A35" s="218"/>
      <c r="B35" s="219" t="s">
        <v>158</v>
      </c>
      <c r="C35" s="220">
        <v>111</v>
      </c>
      <c r="D35" s="220">
        <v>0</v>
      </c>
      <c r="E35" s="240">
        <f>+D35*100/C35</f>
        <v>0</v>
      </c>
      <c r="F35" s="220" t="s">
        <v>46</v>
      </c>
      <c r="G35" s="241" t="s">
        <v>46</v>
      </c>
      <c r="H35" s="241" t="s">
        <v>46</v>
      </c>
      <c r="I35" s="241" t="s">
        <v>46</v>
      </c>
      <c r="J35" s="241" t="s">
        <v>46</v>
      </c>
      <c r="K35" s="241" t="s">
        <v>46</v>
      </c>
      <c r="L35" s="241" t="s">
        <v>46</v>
      </c>
      <c r="M35" s="241" t="s">
        <v>46</v>
      </c>
      <c r="N35" s="241" t="s">
        <v>46</v>
      </c>
      <c r="O35" s="241" t="s">
        <v>46</v>
      </c>
    </row>
    <row r="36" spans="1:15" s="222" customFormat="1" ht="15.95" customHeight="1" x14ac:dyDescent="0.4">
      <c r="A36" s="223"/>
      <c r="B36" s="224" t="s">
        <v>154</v>
      </c>
      <c r="C36" s="225">
        <v>140</v>
      </c>
      <c r="D36" s="225">
        <v>0</v>
      </c>
      <c r="E36" s="242">
        <f>+D36*100/C36</f>
        <v>0</v>
      </c>
      <c r="F36" s="225" t="s">
        <v>46</v>
      </c>
      <c r="G36" s="243" t="s">
        <v>46</v>
      </c>
      <c r="H36" s="243" t="s">
        <v>46</v>
      </c>
      <c r="I36" s="243" t="s">
        <v>46</v>
      </c>
      <c r="J36" s="243" t="s">
        <v>46</v>
      </c>
      <c r="K36" s="243" t="s">
        <v>46</v>
      </c>
      <c r="L36" s="243" t="s">
        <v>46</v>
      </c>
      <c r="M36" s="243" t="s">
        <v>46</v>
      </c>
      <c r="N36" s="243" t="s">
        <v>46</v>
      </c>
      <c r="O36" s="243" t="s">
        <v>46</v>
      </c>
    </row>
    <row r="37" spans="1:15" s="222" customFormat="1" ht="15.95" customHeight="1" x14ac:dyDescent="0.4">
      <c r="A37" s="223"/>
      <c r="B37" s="227" t="s">
        <v>155</v>
      </c>
      <c r="C37" s="225">
        <v>36048</v>
      </c>
      <c r="D37" s="225">
        <v>2230</v>
      </c>
      <c r="E37" s="242">
        <f>+D37*100/C37</f>
        <v>6.1861961828672882</v>
      </c>
      <c r="F37" s="225" t="s">
        <v>46</v>
      </c>
      <c r="G37" s="243">
        <v>1084</v>
      </c>
      <c r="H37" s="243">
        <v>1</v>
      </c>
      <c r="I37" s="243">
        <v>865</v>
      </c>
      <c r="J37" s="243">
        <v>93</v>
      </c>
      <c r="K37" s="243">
        <v>184</v>
      </c>
      <c r="L37" s="243" t="s">
        <v>46</v>
      </c>
      <c r="M37" s="243">
        <v>1</v>
      </c>
      <c r="N37" s="243">
        <v>2</v>
      </c>
      <c r="O37" s="243" t="s">
        <v>46</v>
      </c>
    </row>
    <row r="38" spans="1:15" s="222" customFormat="1" ht="15.95" customHeight="1" x14ac:dyDescent="0.4">
      <c r="A38" s="223"/>
      <c r="B38" s="227" t="s">
        <v>156</v>
      </c>
      <c r="C38" s="225">
        <v>7273</v>
      </c>
      <c r="D38" s="225">
        <v>458</v>
      </c>
      <c r="E38" s="242">
        <f>+D38*100/C38</f>
        <v>6.2972638526055276</v>
      </c>
      <c r="F38" s="225" t="s">
        <v>46</v>
      </c>
      <c r="G38" s="243" t="s">
        <v>46</v>
      </c>
      <c r="H38" s="243">
        <v>447</v>
      </c>
      <c r="I38" s="243">
        <v>4</v>
      </c>
      <c r="J38" s="243" t="s">
        <v>46</v>
      </c>
      <c r="K38" s="243">
        <v>1</v>
      </c>
      <c r="L38" s="243" t="s">
        <v>46</v>
      </c>
      <c r="M38" s="243">
        <v>6</v>
      </c>
      <c r="N38" s="243" t="s">
        <v>46</v>
      </c>
      <c r="O38" s="243" t="s">
        <v>46</v>
      </c>
    </row>
    <row r="39" spans="1:15" s="222" customFormat="1" ht="15.95" customHeight="1" x14ac:dyDescent="0.4">
      <c r="A39" s="229"/>
      <c r="B39" s="230" t="s">
        <v>157</v>
      </c>
      <c r="C39" s="231">
        <v>1006</v>
      </c>
      <c r="D39" s="231">
        <v>84</v>
      </c>
      <c r="E39" s="244">
        <f>+D39*100/C39</f>
        <v>8.3499005964214703</v>
      </c>
      <c r="F39" s="225" t="s">
        <v>46</v>
      </c>
      <c r="G39" s="245" t="s">
        <v>46</v>
      </c>
      <c r="H39" s="245">
        <v>82</v>
      </c>
      <c r="I39" s="245">
        <v>2</v>
      </c>
      <c r="J39" s="245" t="s">
        <v>46</v>
      </c>
      <c r="K39" s="245" t="s">
        <v>46</v>
      </c>
      <c r="L39" s="245" t="s">
        <v>46</v>
      </c>
      <c r="M39" s="245" t="s">
        <v>46</v>
      </c>
      <c r="N39" s="245" t="s">
        <v>46</v>
      </c>
      <c r="O39" s="245" t="s">
        <v>46</v>
      </c>
    </row>
    <row r="40" spans="1:15" s="222" customFormat="1" ht="15.95" customHeight="1" x14ac:dyDescent="0.4">
      <c r="A40" s="236">
        <v>2554</v>
      </c>
      <c r="B40" s="236" t="s">
        <v>85</v>
      </c>
      <c r="C40" s="237">
        <f>SUM(C41:C45)</f>
        <v>46693</v>
      </c>
      <c r="D40" s="237">
        <f>SUM(D41:D45)</f>
        <v>2667</v>
      </c>
      <c r="E40" s="215">
        <f>SUM(D40*100/C40)</f>
        <v>5.7117769258775404</v>
      </c>
      <c r="F40" s="238"/>
      <c r="G40" s="237">
        <f t="shared" ref="G40:L40" si="1">SUM(G41:G45)</f>
        <v>1262</v>
      </c>
      <c r="H40" s="237">
        <f t="shared" si="1"/>
        <v>335</v>
      </c>
      <c r="I40" s="237">
        <f t="shared" si="1"/>
        <v>761</v>
      </c>
      <c r="J40" s="237">
        <f t="shared" si="1"/>
        <v>117</v>
      </c>
      <c r="K40" s="237">
        <f t="shared" si="1"/>
        <v>189</v>
      </c>
      <c r="L40" s="237">
        <f t="shared" si="1"/>
        <v>1</v>
      </c>
      <c r="M40" s="217" t="s">
        <v>46</v>
      </c>
      <c r="N40" s="239">
        <f>SUM(N41:N45)</f>
        <v>1</v>
      </c>
      <c r="O40" s="239">
        <f>SUM(O41:O45)</f>
        <v>1</v>
      </c>
    </row>
    <row r="41" spans="1:15" s="222" customFormat="1" ht="15.95" customHeight="1" x14ac:dyDescent="0.4">
      <c r="A41" s="218"/>
      <c r="B41" s="219" t="s">
        <v>158</v>
      </c>
      <c r="C41" s="220">
        <v>133</v>
      </c>
      <c r="D41" s="220">
        <v>4</v>
      </c>
      <c r="E41" s="240">
        <f t="shared" ref="E41:E45" si="2">+D41*100/C41</f>
        <v>3.007518796992481</v>
      </c>
      <c r="F41" s="220" t="s">
        <v>46</v>
      </c>
      <c r="G41" s="241">
        <v>4</v>
      </c>
      <c r="H41" s="241" t="s">
        <v>46</v>
      </c>
      <c r="I41" s="241" t="s">
        <v>46</v>
      </c>
      <c r="J41" s="241" t="s">
        <v>46</v>
      </c>
      <c r="K41" s="241" t="s">
        <v>46</v>
      </c>
      <c r="L41" s="241" t="s">
        <v>46</v>
      </c>
      <c r="M41" s="241" t="s">
        <v>46</v>
      </c>
      <c r="N41" s="241" t="s">
        <v>46</v>
      </c>
      <c r="O41" s="241" t="s">
        <v>46</v>
      </c>
    </row>
    <row r="42" spans="1:15" s="222" customFormat="1" ht="15.95" customHeight="1" x14ac:dyDescent="0.4">
      <c r="A42" s="246"/>
      <c r="B42" s="224" t="s">
        <v>154</v>
      </c>
      <c r="C42" s="247">
        <v>44</v>
      </c>
      <c r="D42" s="247">
        <v>0</v>
      </c>
      <c r="E42" s="248">
        <f t="shared" si="2"/>
        <v>0</v>
      </c>
      <c r="F42" s="225" t="s">
        <v>46</v>
      </c>
      <c r="G42" s="243" t="s">
        <v>46</v>
      </c>
      <c r="H42" s="243" t="s">
        <v>46</v>
      </c>
      <c r="I42" s="243" t="s">
        <v>46</v>
      </c>
      <c r="J42" s="243" t="s">
        <v>46</v>
      </c>
      <c r="K42" s="243" t="s">
        <v>46</v>
      </c>
      <c r="L42" s="243" t="s">
        <v>46</v>
      </c>
      <c r="M42" s="243" t="s">
        <v>46</v>
      </c>
      <c r="N42" s="243" t="s">
        <v>46</v>
      </c>
      <c r="O42" s="243" t="s">
        <v>46</v>
      </c>
    </row>
    <row r="43" spans="1:15" s="222" customFormat="1" ht="15.95" customHeight="1" x14ac:dyDescent="0.4">
      <c r="A43" s="223"/>
      <c r="B43" s="227" t="s">
        <v>155</v>
      </c>
      <c r="C43" s="225">
        <v>38700</v>
      </c>
      <c r="D43" s="225">
        <v>2321</v>
      </c>
      <c r="E43" s="242">
        <f t="shared" si="2"/>
        <v>5.9974160206718343</v>
      </c>
      <c r="F43" s="225" t="s">
        <v>46</v>
      </c>
      <c r="G43" s="243">
        <v>1256</v>
      </c>
      <c r="H43" s="243">
        <v>4</v>
      </c>
      <c r="I43" s="243">
        <v>760</v>
      </c>
      <c r="J43" s="243">
        <v>110</v>
      </c>
      <c r="K43" s="243">
        <v>189</v>
      </c>
      <c r="L43" s="243">
        <v>1</v>
      </c>
      <c r="M43" s="243" t="s">
        <v>46</v>
      </c>
      <c r="N43" s="243">
        <v>1</v>
      </c>
      <c r="O43" s="243" t="s">
        <v>46</v>
      </c>
    </row>
    <row r="44" spans="1:15" s="222" customFormat="1" ht="15.95" customHeight="1" x14ac:dyDescent="0.4">
      <c r="A44" s="223"/>
      <c r="B44" s="227" t="s">
        <v>156</v>
      </c>
      <c r="C44" s="225">
        <v>6822</v>
      </c>
      <c r="D44" s="225">
        <v>310</v>
      </c>
      <c r="E44" s="242">
        <f t="shared" si="2"/>
        <v>4.5441219583699795</v>
      </c>
      <c r="F44" s="225" t="s">
        <v>46</v>
      </c>
      <c r="G44" s="243">
        <v>2</v>
      </c>
      <c r="H44" s="243">
        <v>299</v>
      </c>
      <c r="I44" s="243">
        <v>1</v>
      </c>
      <c r="J44" s="243">
        <v>7</v>
      </c>
      <c r="K44" s="243" t="s">
        <v>46</v>
      </c>
      <c r="L44" s="243" t="s">
        <v>46</v>
      </c>
      <c r="M44" s="243" t="s">
        <v>46</v>
      </c>
      <c r="N44" s="243" t="s">
        <v>46</v>
      </c>
      <c r="O44" s="243">
        <v>1</v>
      </c>
    </row>
    <row r="45" spans="1:15" s="222" customFormat="1" ht="15.95" customHeight="1" x14ac:dyDescent="0.4">
      <c r="A45" s="229"/>
      <c r="B45" s="230" t="s">
        <v>157</v>
      </c>
      <c r="C45" s="231">
        <v>994</v>
      </c>
      <c r="D45" s="231">
        <v>32</v>
      </c>
      <c r="E45" s="244">
        <f t="shared" si="2"/>
        <v>3.2193158953722336</v>
      </c>
      <c r="F45" s="225" t="s">
        <v>46</v>
      </c>
      <c r="G45" s="245" t="s">
        <v>46</v>
      </c>
      <c r="H45" s="245">
        <v>32</v>
      </c>
      <c r="I45" s="245" t="s">
        <v>46</v>
      </c>
      <c r="J45" s="245" t="s">
        <v>46</v>
      </c>
      <c r="K45" s="245" t="s">
        <v>46</v>
      </c>
      <c r="L45" s="245" t="s">
        <v>46</v>
      </c>
      <c r="M45" s="245" t="s">
        <v>46</v>
      </c>
      <c r="N45" s="245" t="s">
        <v>46</v>
      </c>
      <c r="O45" s="245" t="s">
        <v>46</v>
      </c>
    </row>
    <row r="46" spans="1:15" s="212" customFormat="1" ht="15.95" customHeight="1" x14ac:dyDescent="0.4">
      <c r="A46" s="213">
        <v>2555</v>
      </c>
      <c r="B46" s="213" t="s">
        <v>85</v>
      </c>
      <c r="C46" s="214">
        <f>SUM(C47:C51)</f>
        <v>44760</v>
      </c>
      <c r="D46" s="214">
        <f>SUM(D47:D51)</f>
        <v>4127</v>
      </c>
      <c r="E46" s="249">
        <f>+D46*100/C46</f>
        <v>9.2202859696157287</v>
      </c>
      <c r="F46" s="216"/>
      <c r="G46" s="214">
        <f>+G49+G50</f>
        <v>1485</v>
      </c>
      <c r="H46" s="217">
        <f>+H49+H50+H51</f>
        <v>762</v>
      </c>
      <c r="I46" s="217">
        <f>+I49</f>
        <v>1042</v>
      </c>
      <c r="J46" s="217">
        <f>+J49</f>
        <v>154</v>
      </c>
      <c r="K46" s="217">
        <f>+K49</f>
        <v>186</v>
      </c>
      <c r="L46" s="217">
        <f>+L49</f>
        <v>1</v>
      </c>
      <c r="M46" s="217" t="s">
        <v>46</v>
      </c>
      <c r="N46" s="217" t="s">
        <v>46</v>
      </c>
      <c r="O46" s="217" t="s">
        <v>46</v>
      </c>
    </row>
    <row r="47" spans="1:15" s="222" customFormat="1" ht="15.95" customHeight="1" x14ac:dyDescent="0.4">
      <c r="A47" s="218"/>
      <c r="B47" s="219" t="s">
        <v>158</v>
      </c>
      <c r="C47" s="250">
        <v>15</v>
      </c>
      <c r="D47" s="251">
        <v>0</v>
      </c>
      <c r="E47" s="250" t="s">
        <v>46</v>
      </c>
      <c r="F47" s="250" t="s">
        <v>46</v>
      </c>
      <c r="G47" s="250" t="s">
        <v>46</v>
      </c>
      <c r="H47" s="250" t="s">
        <v>46</v>
      </c>
      <c r="I47" s="250" t="s">
        <v>46</v>
      </c>
      <c r="J47" s="250" t="s">
        <v>46</v>
      </c>
      <c r="K47" s="250" t="s">
        <v>46</v>
      </c>
      <c r="L47" s="250" t="s">
        <v>46</v>
      </c>
      <c r="M47" s="252" t="s">
        <v>46</v>
      </c>
      <c r="N47" s="252" t="s">
        <v>46</v>
      </c>
      <c r="O47" s="252" t="s">
        <v>46</v>
      </c>
    </row>
    <row r="48" spans="1:15" s="222" customFormat="1" ht="15.95" customHeight="1" x14ac:dyDescent="0.4">
      <c r="A48" s="223"/>
      <c r="B48" s="224" t="s">
        <v>154</v>
      </c>
      <c r="C48" s="253">
        <v>5</v>
      </c>
      <c r="D48" s="254">
        <v>0</v>
      </c>
      <c r="E48" s="253" t="s">
        <v>46</v>
      </c>
      <c r="F48" s="253" t="s">
        <v>46</v>
      </c>
      <c r="G48" s="253" t="s">
        <v>46</v>
      </c>
      <c r="H48" s="253" t="s">
        <v>46</v>
      </c>
      <c r="I48" s="253" t="s">
        <v>46</v>
      </c>
      <c r="J48" s="253" t="s">
        <v>46</v>
      </c>
      <c r="K48" s="253" t="s">
        <v>46</v>
      </c>
      <c r="L48" s="253" t="s">
        <v>46</v>
      </c>
      <c r="M48" s="255" t="s">
        <v>46</v>
      </c>
      <c r="N48" s="255" t="s">
        <v>46</v>
      </c>
      <c r="O48" s="255" t="s">
        <v>46</v>
      </c>
    </row>
    <row r="49" spans="1:15" s="222" customFormat="1" ht="15.95" customHeight="1" x14ac:dyDescent="0.4">
      <c r="A49" s="223"/>
      <c r="B49" s="227" t="s">
        <v>155</v>
      </c>
      <c r="C49" s="253">
        <f>34342+2823</f>
        <v>37165</v>
      </c>
      <c r="D49" s="253">
        <v>3604</v>
      </c>
      <c r="E49" s="256">
        <f>+D49*100/C49</f>
        <v>9.6972958428629088</v>
      </c>
      <c r="F49" s="253" t="s">
        <v>46</v>
      </c>
      <c r="G49" s="253">
        <f>+[1]สรุป!D$7</f>
        <v>1372</v>
      </c>
      <c r="H49" s="254">
        <v>0</v>
      </c>
      <c r="I49" s="253">
        <f>+[1]สรุป!F$7</f>
        <v>1042</v>
      </c>
      <c r="J49" s="253">
        <f>+[1]สรุป!G$7</f>
        <v>154</v>
      </c>
      <c r="K49" s="253">
        <f>+[1]สรุป!H$7</f>
        <v>186</v>
      </c>
      <c r="L49" s="253">
        <f>+[1]สรุป!I$7</f>
        <v>1</v>
      </c>
      <c r="M49" s="254">
        <v>0</v>
      </c>
      <c r="N49" s="254">
        <f>+[1]สรุป!K$7</f>
        <v>0</v>
      </c>
      <c r="O49" s="255" t="s">
        <v>46</v>
      </c>
    </row>
    <row r="50" spans="1:15" s="222" customFormat="1" ht="15.95" customHeight="1" x14ac:dyDescent="0.4">
      <c r="A50" s="223"/>
      <c r="B50" s="227" t="s">
        <v>156</v>
      </c>
      <c r="C50" s="253">
        <v>6421</v>
      </c>
      <c r="D50" s="253">
        <v>431</v>
      </c>
      <c r="E50" s="256">
        <f>+D50*100/C50</f>
        <v>6.7123501012303377</v>
      </c>
      <c r="F50" s="253" t="s">
        <v>46</v>
      </c>
      <c r="G50" s="253">
        <v>113</v>
      </c>
      <c r="H50" s="253">
        <v>669</v>
      </c>
      <c r="I50" s="253" t="s">
        <v>46</v>
      </c>
      <c r="J50" s="253" t="s">
        <v>46</v>
      </c>
      <c r="K50" s="253" t="s">
        <v>46</v>
      </c>
      <c r="L50" s="253" t="s">
        <v>46</v>
      </c>
      <c r="M50" s="255" t="s">
        <v>46</v>
      </c>
      <c r="N50" s="255" t="s">
        <v>46</v>
      </c>
      <c r="O50" s="255" t="s">
        <v>46</v>
      </c>
    </row>
    <row r="51" spans="1:15" s="212" customFormat="1" ht="15.95" customHeight="1" x14ac:dyDescent="0.4">
      <c r="A51" s="229"/>
      <c r="B51" s="230" t="s">
        <v>157</v>
      </c>
      <c r="C51" s="257">
        <v>1154</v>
      </c>
      <c r="D51" s="257">
        <v>92</v>
      </c>
      <c r="E51" s="258">
        <f>+D51*100/C51</f>
        <v>7.9722703639514734</v>
      </c>
      <c r="F51" s="257" t="s">
        <v>46</v>
      </c>
      <c r="G51" s="257" t="s">
        <v>46</v>
      </c>
      <c r="H51" s="257">
        <v>93</v>
      </c>
      <c r="I51" s="257" t="s">
        <v>46</v>
      </c>
      <c r="J51" s="257" t="s">
        <v>46</v>
      </c>
      <c r="K51" s="257" t="s">
        <v>46</v>
      </c>
      <c r="L51" s="257" t="s">
        <v>46</v>
      </c>
      <c r="M51" s="259" t="s">
        <v>46</v>
      </c>
      <c r="N51" s="259" t="s">
        <v>46</v>
      </c>
      <c r="O51" s="259" t="s">
        <v>46</v>
      </c>
    </row>
    <row r="52" spans="1:15" s="212" customFormat="1" ht="15.95" hidden="1" customHeight="1" x14ac:dyDescent="0.4">
      <c r="A52" s="260" t="s">
        <v>159</v>
      </c>
      <c r="B52" s="213" t="s">
        <v>85</v>
      </c>
      <c r="C52" s="261">
        <f>SUM(C53:C57)</f>
        <v>31658</v>
      </c>
      <c r="D52" s="261">
        <f t="shared" ref="D52" si="3">SUM(D53:D57)</f>
        <v>1942</v>
      </c>
      <c r="E52" s="249">
        <f>+D52*100/C52</f>
        <v>6.1343104428580455</v>
      </c>
      <c r="F52" s="261">
        <f t="shared" ref="F52:O52" si="4">SUM(F53:F57)</f>
        <v>50</v>
      </c>
      <c r="G52" s="261">
        <f t="shared" si="4"/>
        <v>77</v>
      </c>
      <c r="H52" s="261">
        <f t="shared" si="4"/>
        <v>461</v>
      </c>
      <c r="I52" s="261">
        <f t="shared" si="4"/>
        <v>1178</v>
      </c>
      <c r="J52" s="261">
        <f t="shared" si="4"/>
        <v>35</v>
      </c>
      <c r="K52" s="261">
        <f t="shared" si="4"/>
        <v>133</v>
      </c>
      <c r="L52" s="261">
        <f t="shared" si="4"/>
        <v>0</v>
      </c>
      <c r="M52" s="261">
        <f t="shared" si="4"/>
        <v>8</v>
      </c>
      <c r="N52" s="261">
        <f t="shared" si="4"/>
        <v>0</v>
      </c>
      <c r="O52" s="261">
        <f t="shared" si="4"/>
        <v>0</v>
      </c>
    </row>
    <row r="53" spans="1:15" s="222" customFormat="1" ht="15.95" hidden="1" customHeight="1" x14ac:dyDescent="0.4">
      <c r="A53" s="218"/>
      <c r="B53" s="219" t="s">
        <v>158</v>
      </c>
      <c r="C53" s="250" t="s">
        <v>46</v>
      </c>
      <c r="D53" s="250" t="s">
        <v>46</v>
      </c>
      <c r="E53" s="250" t="s">
        <v>46</v>
      </c>
      <c r="F53" s="250">
        <v>0</v>
      </c>
      <c r="G53" s="250">
        <v>0</v>
      </c>
      <c r="H53" s="250">
        <v>0</v>
      </c>
      <c r="I53" s="250">
        <v>0</v>
      </c>
      <c r="J53" s="250">
        <v>0</v>
      </c>
      <c r="K53" s="250">
        <v>0</v>
      </c>
      <c r="L53" s="250">
        <v>0</v>
      </c>
      <c r="M53" s="250">
        <v>0</v>
      </c>
      <c r="N53" s="250">
        <v>0</v>
      </c>
      <c r="O53" s="250">
        <v>0</v>
      </c>
    </row>
    <row r="54" spans="1:15" s="222" customFormat="1" ht="15.95" hidden="1" customHeight="1" x14ac:dyDescent="0.4">
      <c r="A54" s="223"/>
      <c r="B54" s="224" t="s">
        <v>154</v>
      </c>
      <c r="C54" s="253" t="s">
        <v>46</v>
      </c>
      <c r="D54" s="253" t="s">
        <v>46</v>
      </c>
      <c r="E54" s="253" t="s">
        <v>46</v>
      </c>
      <c r="F54" s="253">
        <v>0</v>
      </c>
      <c r="G54" s="253">
        <v>0</v>
      </c>
      <c r="H54" s="253">
        <v>0</v>
      </c>
      <c r="I54" s="253">
        <v>0</v>
      </c>
      <c r="J54" s="253">
        <v>0</v>
      </c>
      <c r="K54" s="253">
        <v>0</v>
      </c>
      <c r="L54" s="253">
        <v>0</v>
      </c>
      <c r="M54" s="253">
        <v>0</v>
      </c>
      <c r="N54" s="253">
        <v>0</v>
      </c>
      <c r="O54" s="253">
        <v>0</v>
      </c>
    </row>
    <row r="55" spans="1:15" s="222" customFormat="1" ht="15.95" hidden="1" customHeight="1" x14ac:dyDescent="0.4">
      <c r="A55" s="223"/>
      <c r="B55" s="227" t="s">
        <v>155</v>
      </c>
      <c r="C55" s="253">
        <f>22193+3676+2486</f>
        <v>28355</v>
      </c>
      <c r="D55" s="253">
        <f>SUM(F55:O55)</f>
        <v>1416</v>
      </c>
      <c r="E55" s="256">
        <f>+D55*100/C55</f>
        <v>4.9938282489860697</v>
      </c>
      <c r="F55" s="253">
        <v>0</v>
      </c>
      <c r="G55" s="253">
        <v>77</v>
      </c>
      <c r="H55" s="253" t="s">
        <v>46</v>
      </c>
      <c r="I55" s="253">
        <f>199+51+925</f>
        <v>1175</v>
      </c>
      <c r="J55" s="253">
        <f>25+6</f>
        <v>31</v>
      </c>
      <c r="K55" s="253">
        <f>27+12+94</f>
        <v>133</v>
      </c>
      <c r="L55" s="253" t="s">
        <v>46</v>
      </c>
      <c r="M55" s="255" t="s">
        <v>46</v>
      </c>
      <c r="N55" s="255" t="s">
        <v>46</v>
      </c>
      <c r="O55" s="255" t="s">
        <v>46</v>
      </c>
    </row>
    <row r="56" spans="1:15" s="222" customFormat="1" ht="15.95" hidden="1" customHeight="1" x14ac:dyDescent="0.4">
      <c r="A56" s="223"/>
      <c r="B56" s="227" t="s">
        <v>156</v>
      </c>
      <c r="C56" s="253">
        <v>2564</v>
      </c>
      <c r="D56" s="253">
        <f t="shared" ref="D56:D57" si="5">SUM(F56:O56)</f>
        <v>492</v>
      </c>
      <c r="E56" s="256">
        <f>+D56*100/C56</f>
        <v>19.188767550702028</v>
      </c>
      <c r="F56" s="253">
        <v>50</v>
      </c>
      <c r="G56" s="253" t="s">
        <v>46</v>
      </c>
      <c r="H56" s="253">
        <v>427</v>
      </c>
      <c r="I56" s="253">
        <v>3</v>
      </c>
      <c r="J56" s="253">
        <v>4</v>
      </c>
      <c r="K56" s="253" t="s">
        <v>46</v>
      </c>
      <c r="L56" s="253" t="s">
        <v>46</v>
      </c>
      <c r="M56" s="255">
        <v>8</v>
      </c>
      <c r="N56" s="255" t="s">
        <v>46</v>
      </c>
      <c r="O56" s="255" t="s">
        <v>46</v>
      </c>
    </row>
    <row r="57" spans="1:15" s="212" customFormat="1" ht="15.95" hidden="1" customHeight="1" x14ac:dyDescent="0.4">
      <c r="A57" s="229"/>
      <c r="B57" s="230" t="s">
        <v>157</v>
      </c>
      <c r="C57" s="257">
        <v>739</v>
      </c>
      <c r="D57" s="253">
        <f t="shared" si="5"/>
        <v>34</v>
      </c>
      <c r="E57" s="258">
        <f>+D57*100/C57</f>
        <v>4.6008119079837622</v>
      </c>
      <c r="F57" s="257" t="s">
        <v>46</v>
      </c>
      <c r="G57" s="257" t="s">
        <v>46</v>
      </c>
      <c r="H57" s="257">
        <v>34</v>
      </c>
      <c r="I57" s="257" t="s">
        <v>46</v>
      </c>
      <c r="J57" s="257" t="s">
        <v>46</v>
      </c>
      <c r="K57" s="257" t="s">
        <v>46</v>
      </c>
      <c r="L57" s="257" t="s">
        <v>46</v>
      </c>
      <c r="M57" s="259">
        <v>0</v>
      </c>
      <c r="N57" s="259" t="s">
        <v>46</v>
      </c>
      <c r="O57" s="259" t="s">
        <v>46</v>
      </c>
    </row>
    <row r="58" spans="1:15" s="212" customFormat="1" ht="15.95" hidden="1" customHeight="1" x14ac:dyDescent="0.4">
      <c r="A58" s="213">
        <v>2556</v>
      </c>
      <c r="B58" s="213" t="s">
        <v>85</v>
      </c>
      <c r="C58" s="261">
        <f>SUM(C59:C63)</f>
        <v>0</v>
      </c>
      <c r="D58" s="261">
        <f t="shared" ref="D58:O58" si="6">SUM(D59:D63)</f>
        <v>0</v>
      </c>
      <c r="E58" s="249">
        <v>0</v>
      </c>
      <c r="F58" s="261">
        <f t="shared" si="6"/>
        <v>0</v>
      </c>
      <c r="G58" s="261">
        <f t="shared" si="6"/>
        <v>0</v>
      </c>
      <c r="H58" s="261">
        <f t="shared" si="6"/>
        <v>0</v>
      </c>
      <c r="I58" s="261">
        <f t="shared" si="6"/>
        <v>0</v>
      </c>
      <c r="J58" s="261">
        <f t="shared" si="6"/>
        <v>0</v>
      </c>
      <c r="K58" s="261">
        <f t="shared" si="6"/>
        <v>0</v>
      </c>
      <c r="L58" s="261">
        <f t="shared" si="6"/>
        <v>0</v>
      </c>
      <c r="M58" s="261">
        <f t="shared" si="6"/>
        <v>0</v>
      </c>
      <c r="N58" s="261">
        <f t="shared" si="6"/>
        <v>0</v>
      </c>
      <c r="O58" s="261">
        <f t="shared" si="6"/>
        <v>0</v>
      </c>
    </row>
    <row r="59" spans="1:15" s="222" customFormat="1" ht="15.95" hidden="1" customHeight="1" x14ac:dyDescent="0.4">
      <c r="A59" s="218"/>
      <c r="B59" s="219" t="s">
        <v>158</v>
      </c>
      <c r="C59" s="250" t="s">
        <v>46</v>
      </c>
      <c r="D59" s="250" t="s">
        <v>46</v>
      </c>
      <c r="E59" s="250" t="s">
        <v>46</v>
      </c>
      <c r="F59" s="250" t="s">
        <v>46</v>
      </c>
      <c r="G59" s="250" t="s">
        <v>46</v>
      </c>
      <c r="H59" s="250" t="s">
        <v>46</v>
      </c>
      <c r="I59" s="250" t="s">
        <v>46</v>
      </c>
      <c r="J59" s="250" t="s">
        <v>46</v>
      </c>
      <c r="K59" s="250" t="s">
        <v>46</v>
      </c>
      <c r="L59" s="250" t="s">
        <v>46</v>
      </c>
      <c r="M59" s="252" t="s">
        <v>46</v>
      </c>
      <c r="N59" s="252" t="s">
        <v>46</v>
      </c>
      <c r="O59" s="252" t="s">
        <v>46</v>
      </c>
    </row>
    <row r="60" spans="1:15" s="222" customFormat="1" ht="15.95" hidden="1" customHeight="1" x14ac:dyDescent="0.4">
      <c r="A60" s="223"/>
      <c r="B60" s="224" t="s">
        <v>154</v>
      </c>
      <c r="C60" s="253" t="s">
        <v>46</v>
      </c>
      <c r="D60" s="253" t="s">
        <v>46</v>
      </c>
      <c r="E60" s="253" t="s">
        <v>46</v>
      </c>
      <c r="F60" s="253" t="s">
        <v>46</v>
      </c>
      <c r="G60" s="253" t="s">
        <v>46</v>
      </c>
      <c r="H60" s="253" t="s">
        <v>46</v>
      </c>
      <c r="I60" s="253" t="s">
        <v>46</v>
      </c>
      <c r="J60" s="253" t="s">
        <v>46</v>
      </c>
      <c r="K60" s="253" t="s">
        <v>46</v>
      </c>
      <c r="L60" s="253" t="s">
        <v>46</v>
      </c>
      <c r="M60" s="255" t="s">
        <v>46</v>
      </c>
      <c r="N60" s="255" t="s">
        <v>46</v>
      </c>
      <c r="O60" s="255" t="s">
        <v>46</v>
      </c>
    </row>
    <row r="61" spans="1:15" s="222" customFormat="1" ht="15.95" hidden="1" customHeight="1" x14ac:dyDescent="0.4">
      <c r="A61" s="223"/>
      <c r="B61" s="227" t="s">
        <v>155</v>
      </c>
      <c r="C61" s="253" t="s">
        <v>46</v>
      </c>
      <c r="D61" s="253" t="s">
        <v>46</v>
      </c>
      <c r="E61" s="262">
        <v>0</v>
      </c>
      <c r="F61" s="253" t="s">
        <v>46</v>
      </c>
      <c r="G61" s="253" t="s">
        <v>46</v>
      </c>
      <c r="H61" s="253" t="s">
        <v>46</v>
      </c>
      <c r="I61" s="253" t="s">
        <v>46</v>
      </c>
      <c r="J61" s="253" t="s">
        <v>46</v>
      </c>
      <c r="K61" s="253" t="s">
        <v>46</v>
      </c>
      <c r="L61" s="253" t="s">
        <v>46</v>
      </c>
      <c r="M61" s="255" t="s">
        <v>46</v>
      </c>
      <c r="N61" s="255" t="s">
        <v>46</v>
      </c>
      <c r="O61" s="255" t="s">
        <v>46</v>
      </c>
    </row>
    <row r="62" spans="1:15" s="222" customFormat="1" ht="15.95" hidden="1" customHeight="1" x14ac:dyDescent="0.4">
      <c r="A62" s="223"/>
      <c r="B62" s="227" t="s">
        <v>156</v>
      </c>
      <c r="C62" s="253" t="s">
        <v>46</v>
      </c>
      <c r="D62" s="253" t="s">
        <v>46</v>
      </c>
      <c r="E62" s="262">
        <v>0</v>
      </c>
      <c r="F62" s="253" t="s">
        <v>46</v>
      </c>
      <c r="G62" s="253" t="s">
        <v>46</v>
      </c>
      <c r="H62" s="253" t="s">
        <v>46</v>
      </c>
      <c r="I62" s="253" t="s">
        <v>46</v>
      </c>
      <c r="J62" s="253" t="s">
        <v>46</v>
      </c>
      <c r="K62" s="253" t="s">
        <v>46</v>
      </c>
      <c r="L62" s="253" t="s">
        <v>46</v>
      </c>
      <c r="M62" s="255" t="s">
        <v>46</v>
      </c>
      <c r="N62" s="255" t="s">
        <v>46</v>
      </c>
      <c r="O62" s="255" t="s">
        <v>46</v>
      </c>
    </row>
    <row r="63" spans="1:15" s="212" customFormat="1" ht="15.95" hidden="1" customHeight="1" x14ac:dyDescent="0.4">
      <c r="A63" s="229"/>
      <c r="B63" s="230" t="s">
        <v>157</v>
      </c>
      <c r="C63" s="253" t="s">
        <v>46</v>
      </c>
      <c r="D63" s="253" t="s">
        <v>46</v>
      </c>
      <c r="E63" s="263">
        <v>0</v>
      </c>
      <c r="F63" s="253" t="s">
        <v>46</v>
      </c>
      <c r="G63" s="253" t="s">
        <v>46</v>
      </c>
      <c r="H63" s="253" t="s">
        <v>46</v>
      </c>
      <c r="I63" s="253" t="s">
        <v>46</v>
      </c>
      <c r="J63" s="253" t="s">
        <v>46</v>
      </c>
      <c r="K63" s="253" t="s">
        <v>46</v>
      </c>
      <c r="L63" s="253" t="s">
        <v>46</v>
      </c>
      <c r="M63" s="255" t="s">
        <v>46</v>
      </c>
      <c r="N63" s="255" t="s">
        <v>46</v>
      </c>
      <c r="O63" s="255" t="s">
        <v>46</v>
      </c>
    </row>
    <row r="64" spans="1:15" s="212" customFormat="1" ht="15.95" hidden="1" customHeight="1" x14ac:dyDescent="0.4">
      <c r="A64" s="260" t="s">
        <v>160</v>
      </c>
      <c r="B64" s="213" t="s">
        <v>85</v>
      </c>
      <c r="C64" s="261">
        <f>SUM(C65:C69)</f>
        <v>39063</v>
      </c>
      <c r="D64" s="261">
        <f t="shared" ref="D64" si="7">SUM(D65:D69)</f>
        <v>2933</v>
      </c>
      <c r="E64" s="249">
        <f>+D64*100/C64</f>
        <v>7.5083838926861732</v>
      </c>
      <c r="F64" s="261">
        <f t="shared" ref="F64:O64" si="8">SUM(F65:F69)</f>
        <v>50</v>
      </c>
      <c r="G64" s="261">
        <f t="shared" si="8"/>
        <v>830</v>
      </c>
      <c r="H64" s="261">
        <f t="shared" si="8"/>
        <v>1860</v>
      </c>
      <c r="I64" s="261">
        <f t="shared" si="8"/>
        <v>65</v>
      </c>
      <c r="J64" s="261">
        <f t="shared" si="8"/>
        <v>56</v>
      </c>
      <c r="K64" s="261">
        <f t="shared" si="8"/>
        <v>61</v>
      </c>
      <c r="L64" s="261">
        <f t="shared" si="8"/>
        <v>3</v>
      </c>
      <c r="M64" s="261">
        <f t="shared" si="8"/>
        <v>8</v>
      </c>
      <c r="N64" s="261">
        <f t="shared" si="8"/>
        <v>0</v>
      </c>
      <c r="O64" s="261">
        <f t="shared" si="8"/>
        <v>0</v>
      </c>
    </row>
    <row r="65" spans="1:15" s="222" customFormat="1" ht="15.95" hidden="1" customHeight="1" x14ac:dyDescent="0.4">
      <c r="A65" s="218"/>
      <c r="B65" s="219" t="s">
        <v>158</v>
      </c>
      <c r="C65" s="250" t="s">
        <v>46</v>
      </c>
      <c r="D65" s="250" t="s">
        <v>46</v>
      </c>
      <c r="E65" s="250" t="s">
        <v>46</v>
      </c>
      <c r="F65" s="253" t="s">
        <v>46</v>
      </c>
      <c r="G65" s="253" t="s">
        <v>46</v>
      </c>
      <c r="H65" s="253" t="s">
        <v>46</v>
      </c>
      <c r="I65" s="253" t="s">
        <v>46</v>
      </c>
      <c r="J65" s="253" t="s">
        <v>46</v>
      </c>
      <c r="K65" s="253" t="s">
        <v>46</v>
      </c>
      <c r="L65" s="253" t="s">
        <v>46</v>
      </c>
      <c r="M65" s="253" t="s">
        <v>46</v>
      </c>
      <c r="N65" s="253" t="s">
        <v>46</v>
      </c>
      <c r="O65" s="253" t="s">
        <v>46</v>
      </c>
    </row>
    <row r="66" spans="1:15" s="222" customFormat="1" ht="15.95" hidden="1" customHeight="1" x14ac:dyDescent="0.4">
      <c r="A66" s="223"/>
      <c r="B66" s="224" t="s">
        <v>154</v>
      </c>
      <c r="C66" s="253" t="s">
        <v>46</v>
      </c>
      <c r="D66" s="253" t="s">
        <v>46</v>
      </c>
      <c r="E66" s="253" t="s">
        <v>46</v>
      </c>
      <c r="F66" s="253" t="s">
        <v>46</v>
      </c>
      <c r="G66" s="253" t="s">
        <v>46</v>
      </c>
      <c r="H66" s="253" t="s">
        <v>46</v>
      </c>
      <c r="I66" s="253" t="s">
        <v>46</v>
      </c>
      <c r="J66" s="253" t="s">
        <v>46</v>
      </c>
      <c r="K66" s="253" t="s">
        <v>46</v>
      </c>
      <c r="L66" s="253" t="s">
        <v>46</v>
      </c>
      <c r="M66" s="253" t="s">
        <v>46</v>
      </c>
      <c r="N66" s="253" t="s">
        <v>46</v>
      </c>
      <c r="O66" s="253" t="s">
        <v>46</v>
      </c>
    </row>
    <row r="67" spans="1:15" s="222" customFormat="1" ht="15.95" hidden="1" customHeight="1" x14ac:dyDescent="0.4">
      <c r="A67" s="223"/>
      <c r="B67" s="227" t="s">
        <v>155</v>
      </c>
      <c r="C67" s="253">
        <f>28241+7357</f>
        <v>35598</v>
      </c>
      <c r="D67" s="253">
        <f>SUM(F67:O67)</f>
        <v>2624</v>
      </c>
      <c r="E67" s="256">
        <f>+D67*100/C67</f>
        <v>7.3712006292488343</v>
      </c>
      <c r="F67" s="253" t="s">
        <v>46</v>
      </c>
      <c r="G67" s="253">
        <f>538+292</f>
        <v>830</v>
      </c>
      <c r="H67" s="253">
        <f>1511+100</f>
        <v>1611</v>
      </c>
      <c r="I67" s="253">
        <f>43+22</f>
        <v>65</v>
      </c>
      <c r="J67" s="253">
        <f>43+11</f>
        <v>54</v>
      </c>
      <c r="K67" s="253">
        <f>48+13</f>
        <v>61</v>
      </c>
      <c r="L67" s="253">
        <v>3</v>
      </c>
      <c r="M67" s="255" t="s">
        <v>46</v>
      </c>
      <c r="N67" s="255" t="s">
        <v>46</v>
      </c>
      <c r="O67" s="255" t="s">
        <v>46</v>
      </c>
    </row>
    <row r="68" spans="1:15" s="222" customFormat="1" ht="15.95" hidden="1" customHeight="1" x14ac:dyDescent="0.4">
      <c r="A68" s="223"/>
      <c r="B68" s="227" t="s">
        <v>156</v>
      </c>
      <c r="C68" s="253">
        <f>623+2083</f>
        <v>2706</v>
      </c>
      <c r="D68" s="253">
        <f t="shared" ref="D68:D69" si="9">SUM(F68:O68)</f>
        <v>269</v>
      </c>
      <c r="E68" s="256">
        <f>+D68*100/C68</f>
        <v>9.9408721359940877</v>
      </c>
      <c r="F68" s="253">
        <f>13+37</f>
        <v>50</v>
      </c>
      <c r="G68" s="253" t="s">
        <v>46</v>
      </c>
      <c r="H68" s="253">
        <f>42+167</f>
        <v>209</v>
      </c>
      <c r="I68" s="253" t="s">
        <v>46</v>
      </c>
      <c r="J68" s="253">
        <v>2</v>
      </c>
      <c r="K68" s="253" t="s">
        <v>46</v>
      </c>
      <c r="L68" s="253" t="s">
        <v>46</v>
      </c>
      <c r="M68" s="255">
        <v>8</v>
      </c>
      <c r="N68" s="255" t="s">
        <v>46</v>
      </c>
      <c r="O68" s="255" t="s">
        <v>46</v>
      </c>
    </row>
    <row r="69" spans="1:15" s="212" customFormat="1" ht="15.95" hidden="1" customHeight="1" x14ac:dyDescent="0.4">
      <c r="A69" s="229"/>
      <c r="B69" s="230" t="s">
        <v>157</v>
      </c>
      <c r="C69" s="257">
        <f>741+18</f>
        <v>759</v>
      </c>
      <c r="D69" s="253">
        <f t="shared" si="9"/>
        <v>40</v>
      </c>
      <c r="E69" s="258">
        <f>+D69*100/C69</f>
        <v>5.2700922266139658</v>
      </c>
      <c r="F69" s="257" t="s">
        <v>46</v>
      </c>
      <c r="G69" s="257" t="s">
        <v>46</v>
      </c>
      <c r="H69" s="257">
        <f>39+1</f>
        <v>40</v>
      </c>
      <c r="I69" s="257" t="s">
        <v>46</v>
      </c>
      <c r="J69" s="257" t="s">
        <v>46</v>
      </c>
      <c r="K69" s="257" t="s">
        <v>46</v>
      </c>
      <c r="L69" s="257" t="s">
        <v>46</v>
      </c>
      <c r="M69" s="259" t="s">
        <v>46</v>
      </c>
      <c r="N69" s="259" t="s">
        <v>46</v>
      </c>
      <c r="O69" s="259" t="s">
        <v>46</v>
      </c>
    </row>
    <row r="70" spans="1:15" s="212" customFormat="1" ht="15.95" customHeight="1" x14ac:dyDescent="0.4">
      <c r="A70" s="213">
        <v>2556</v>
      </c>
      <c r="B70" s="213" t="s">
        <v>85</v>
      </c>
      <c r="C70" s="261">
        <f>SUM(C71:C75)</f>
        <v>31667</v>
      </c>
      <c r="D70" s="261">
        <f t="shared" ref="D70" si="10">SUM(D71:D75)</f>
        <v>4885</v>
      </c>
      <c r="E70" s="264">
        <f>+D70*100/C70</f>
        <v>15.426153408911485</v>
      </c>
      <c r="F70" s="261">
        <f t="shared" ref="F70:O70" si="11">SUM(F71:F75)</f>
        <v>100</v>
      </c>
      <c r="G70" s="261">
        <f t="shared" si="11"/>
        <v>908</v>
      </c>
      <c r="H70" s="261">
        <f t="shared" si="11"/>
        <v>2321</v>
      </c>
      <c r="I70" s="261">
        <f t="shared" si="11"/>
        <v>1243</v>
      </c>
      <c r="J70" s="261">
        <f t="shared" si="11"/>
        <v>95</v>
      </c>
      <c r="K70" s="261">
        <f t="shared" si="11"/>
        <v>194</v>
      </c>
      <c r="L70" s="261">
        <f t="shared" si="11"/>
        <v>3</v>
      </c>
      <c r="M70" s="261">
        <f t="shared" si="11"/>
        <v>21</v>
      </c>
      <c r="N70" s="261">
        <f t="shared" si="11"/>
        <v>0</v>
      </c>
      <c r="O70" s="261">
        <f t="shared" si="11"/>
        <v>0</v>
      </c>
    </row>
    <row r="71" spans="1:15" s="222" customFormat="1" ht="15.95" customHeight="1" x14ac:dyDescent="0.4">
      <c r="A71" s="265"/>
      <c r="B71" s="266" t="s">
        <v>158</v>
      </c>
      <c r="C71" s="250" t="s">
        <v>46</v>
      </c>
      <c r="D71" s="250" t="s">
        <v>46</v>
      </c>
      <c r="E71" s="250" t="s">
        <v>46</v>
      </c>
      <c r="F71" s="267">
        <v>0</v>
      </c>
      <c r="G71" s="267">
        <v>0</v>
      </c>
      <c r="H71" s="267">
        <v>0</v>
      </c>
      <c r="I71" s="267">
        <v>0</v>
      </c>
      <c r="J71" s="267">
        <v>0</v>
      </c>
      <c r="K71" s="267">
        <v>0</v>
      </c>
      <c r="L71" s="267">
        <v>0</v>
      </c>
      <c r="M71" s="267">
        <v>0</v>
      </c>
      <c r="N71" s="267">
        <v>0</v>
      </c>
      <c r="O71" s="267">
        <v>0</v>
      </c>
    </row>
    <row r="72" spans="1:15" s="222" customFormat="1" ht="15.95" customHeight="1" x14ac:dyDescent="0.4">
      <c r="A72" s="268"/>
      <c r="B72" s="269" t="s">
        <v>154</v>
      </c>
      <c r="C72" s="253" t="s">
        <v>46</v>
      </c>
      <c r="D72" s="253" t="s">
        <v>46</v>
      </c>
      <c r="E72" s="253" t="s">
        <v>46</v>
      </c>
      <c r="F72" s="270">
        <v>0</v>
      </c>
      <c r="G72" s="270">
        <v>0</v>
      </c>
      <c r="H72" s="270">
        <v>0</v>
      </c>
      <c r="I72" s="270">
        <v>0</v>
      </c>
      <c r="J72" s="270">
        <v>0</v>
      </c>
      <c r="K72" s="270">
        <v>0</v>
      </c>
      <c r="L72" s="270">
        <v>0</v>
      </c>
      <c r="M72" s="270">
        <v>0</v>
      </c>
      <c r="N72" s="270">
        <v>0</v>
      </c>
      <c r="O72" s="270">
        <v>0</v>
      </c>
    </row>
    <row r="73" spans="1:15" s="222" customFormat="1" ht="15.95" customHeight="1" x14ac:dyDescent="0.4">
      <c r="A73" s="268"/>
      <c r="B73" s="271" t="s">
        <v>155</v>
      </c>
      <c r="C73" s="253">
        <v>28364</v>
      </c>
      <c r="D73" s="253">
        <f>+'[2]สรุป1 2 56'!$E$116+'[2]สรุป1 2 56'!$E$117</f>
        <v>4041</v>
      </c>
      <c r="E73" s="256">
        <f>+D73*100/C73</f>
        <v>14.246932731631645</v>
      </c>
      <c r="F73" s="270">
        <v>0</v>
      </c>
      <c r="G73" s="270">
        <f>+'[2]สรุป1 2 56'!$L$116+'[2]สรุป1 2 56'!$L$117</f>
        <v>908</v>
      </c>
      <c r="H73" s="270">
        <v>1611</v>
      </c>
      <c r="I73" s="270">
        <v>1240</v>
      </c>
      <c r="J73" s="270">
        <v>85</v>
      </c>
      <c r="K73" s="270">
        <v>194</v>
      </c>
      <c r="L73" s="270">
        <v>3</v>
      </c>
      <c r="M73" s="270">
        <v>0</v>
      </c>
      <c r="N73" s="270">
        <v>0</v>
      </c>
      <c r="O73" s="270">
        <v>0</v>
      </c>
    </row>
    <row r="74" spans="1:15" s="222" customFormat="1" ht="15.95" customHeight="1" x14ac:dyDescent="0.4">
      <c r="A74" s="268"/>
      <c r="B74" s="271" t="s">
        <v>156</v>
      </c>
      <c r="C74" s="253">
        <v>2564</v>
      </c>
      <c r="D74" s="253">
        <f>+'[2]สรุป1 2 56'!$E$118+'[2]สรุป1 2 56'!$E$119</f>
        <v>770</v>
      </c>
      <c r="E74" s="256">
        <f>+D74*100/C74</f>
        <v>30.031201248049921</v>
      </c>
      <c r="F74" s="270">
        <v>100</v>
      </c>
      <c r="G74" s="270">
        <v>0</v>
      </c>
      <c r="H74" s="270">
        <v>636</v>
      </c>
      <c r="I74" s="270">
        <v>3</v>
      </c>
      <c r="J74" s="270">
        <v>10</v>
      </c>
      <c r="K74" s="270">
        <v>0</v>
      </c>
      <c r="L74" s="270">
        <v>0</v>
      </c>
      <c r="M74" s="270">
        <v>21</v>
      </c>
      <c r="N74" s="270">
        <v>0</v>
      </c>
      <c r="O74" s="270">
        <v>0</v>
      </c>
    </row>
    <row r="75" spans="1:15" s="212" customFormat="1" ht="15.95" customHeight="1" x14ac:dyDescent="0.4">
      <c r="A75" s="272"/>
      <c r="B75" s="273" t="s">
        <v>157</v>
      </c>
      <c r="C75" s="257">
        <v>739</v>
      </c>
      <c r="D75" s="257">
        <f>+'[2]สรุป1 2 56'!$E$120+'[2]สรุป1 2 56'!$E$121</f>
        <v>74</v>
      </c>
      <c r="E75" s="258">
        <f>+D75*100/C75</f>
        <v>10.013531799729364</v>
      </c>
      <c r="F75" s="274">
        <v>0</v>
      </c>
      <c r="G75" s="274">
        <v>0</v>
      </c>
      <c r="H75" s="274">
        <f t="shared" ref="H75" si="12">+H57+H69</f>
        <v>74</v>
      </c>
      <c r="I75" s="274">
        <v>0</v>
      </c>
      <c r="J75" s="274">
        <v>0</v>
      </c>
      <c r="K75" s="274">
        <v>0</v>
      </c>
      <c r="L75" s="274">
        <v>0</v>
      </c>
      <c r="M75" s="274">
        <v>0</v>
      </c>
      <c r="N75" s="274">
        <v>0</v>
      </c>
      <c r="O75" s="274">
        <v>0</v>
      </c>
    </row>
    <row r="76" spans="1:15" s="282" customFormat="1" ht="20.25" x14ac:dyDescent="0.4">
      <c r="A76" s="283"/>
      <c r="E76" s="284"/>
      <c r="F76" s="284"/>
      <c r="G76" s="284"/>
      <c r="H76" s="284"/>
      <c r="I76" s="284"/>
      <c r="J76" s="284"/>
      <c r="K76" s="284"/>
      <c r="L76" s="284"/>
      <c r="M76" s="285"/>
      <c r="N76" s="285"/>
      <c r="O76" s="284"/>
    </row>
    <row r="77" spans="1:15" s="222" customFormat="1" ht="18.75" x14ac:dyDescent="0.45">
      <c r="A77" s="275" t="s">
        <v>161</v>
      </c>
      <c r="B77" s="276" t="s">
        <v>162</v>
      </c>
      <c r="C77" s="276"/>
      <c r="D77" s="277"/>
      <c r="E77" s="277"/>
      <c r="F77" s="278"/>
      <c r="G77" s="278"/>
      <c r="H77" s="278"/>
      <c r="I77" s="278"/>
      <c r="J77" s="278"/>
      <c r="K77" s="278"/>
      <c r="L77" s="278"/>
      <c r="M77" s="279"/>
      <c r="N77" s="279"/>
      <c r="O77" s="280"/>
    </row>
    <row r="78" spans="1:15" s="222" customFormat="1" ht="18.75" x14ac:dyDescent="0.45">
      <c r="A78" s="281"/>
      <c r="B78" s="276" t="s">
        <v>163</v>
      </c>
      <c r="C78" s="276"/>
      <c r="D78" s="277"/>
      <c r="E78" s="277"/>
      <c r="F78" s="278"/>
      <c r="G78" s="278"/>
      <c r="H78" s="278"/>
      <c r="I78" s="278"/>
      <c r="J78" s="278"/>
      <c r="K78" s="278"/>
      <c r="L78" s="278"/>
      <c r="M78" s="279"/>
      <c r="N78" s="279"/>
      <c r="O78" s="280"/>
    </row>
    <row r="79" spans="1:15" s="222" customFormat="1" ht="18.75" x14ac:dyDescent="0.45">
      <c r="A79" s="281"/>
      <c r="B79" s="276" t="s">
        <v>164</v>
      </c>
      <c r="C79" s="276"/>
      <c r="D79" s="277"/>
      <c r="E79" s="277"/>
      <c r="F79" s="278"/>
      <c r="G79" s="278"/>
      <c r="H79" s="278"/>
      <c r="I79" s="278"/>
      <c r="J79" s="278"/>
      <c r="K79" s="278"/>
      <c r="L79" s="278"/>
      <c r="M79" s="279"/>
      <c r="N79" s="279"/>
      <c r="O79" s="280"/>
    </row>
    <row r="80" spans="1:15" s="222" customFormat="1" ht="18.75" x14ac:dyDescent="0.45">
      <c r="A80" s="281"/>
      <c r="B80" s="276" t="s">
        <v>165</v>
      </c>
      <c r="C80" s="276"/>
      <c r="D80" s="277"/>
      <c r="E80" s="277"/>
      <c r="F80" s="278"/>
      <c r="G80" s="278"/>
      <c r="H80" s="278"/>
      <c r="I80" s="278"/>
      <c r="J80" s="278"/>
      <c r="K80" s="278"/>
      <c r="L80" s="278"/>
      <c r="M80" s="279"/>
      <c r="N80" s="279"/>
      <c r="O80" s="280"/>
    </row>
    <row r="81" spans="1:15" s="282" customFormat="1" ht="20.25" x14ac:dyDescent="0.4">
      <c r="A81" s="283"/>
      <c r="E81" s="284"/>
      <c r="F81" s="284"/>
      <c r="G81" s="284"/>
      <c r="H81" s="284"/>
      <c r="I81" s="284"/>
      <c r="J81" s="284"/>
      <c r="K81" s="284"/>
      <c r="L81" s="284"/>
      <c r="M81" s="285"/>
      <c r="N81" s="285"/>
      <c r="O81" s="284"/>
    </row>
    <row r="82" spans="1:15" s="282" customFormat="1" ht="20.25" x14ac:dyDescent="0.4">
      <c r="A82" s="283"/>
      <c r="E82" s="284"/>
      <c r="F82" s="284"/>
      <c r="G82" s="284"/>
      <c r="H82" s="284"/>
      <c r="I82" s="284"/>
      <c r="J82" s="284"/>
      <c r="K82" s="284"/>
      <c r="L82" s="284"/>
      <c r="M82" s="285"/>
      <c r="N82" s="285"/>
      <c r="O82" s="284"/>
    </row>
    <row r="83" spans="1:15" s="282" customFormat="1" ht="20.25" x14ac:dyDescent="0.4">
      <c r="A83" s="283"/>
      <c r="E83" s="284"/>
      <c r="F83" s="284"/>
      <c r="G83" s="284"/>
      <c r="H83" s="284"/>
      <c r="I83" s="284"/>
      <c r="J83" s="284"/>
      <c r="K83" s="284"/>
      <c r="L83" s="284"/>
      <c r="M83" s="285"/>
      <c r="N83" s="285"/>
      <c r="O83" s="284"/>
    </row>
    <row r="84" spans="1:15" s="282" customFormat="1" ht="20.25" x14ac:dyDescent="0.4">
      <c r="A84" s="283"/>
      <c r="E84" s="284"/>
      <c r="F84" s="284"/>
      <c r="G84" s="284"/>
      <c r="H84" s="284"/>
      <c r="I84" s="284"/>
      <c r="J84" s="284"/>
      <c r="K84" s="284"/>
      <c r="L84" s="284"/>
      <c r="M84" s="285"/>
      <c r="N84" s="285"/>
      <c r="O84" s="284"/>
    </row>
    <row r="85" spans="1:15" s="282" customFormat="1" ht="20.25" x14ac:dyDescent="0.4">
      <c r="A85" s="283"/>
      <c r="E85" s="284"/>
      <c r="F85" s="284"/>
      <c r="G85" s="284"/>
      <c r="H85" s="284"/>
      <c r="I85" s="284"/>
      <c r="J85" s="284"/>
      <c r="K85" s="284"/>
      <c r="L85" s="284"/>
      <c r="M85" s="285"/>
      <c r="N85" s="285"/>
      <c r="O85" s="284"/>
    </row>
    <row r="86" spans="1:15" s="282" customFormat="1" ht="20.25" x14ac:dyDescent="0.4">
      <c r="A86" s="286"/>
      <c r="E86" s="284"/>
      <c r="F86" s="284"/>
      <c r="G86" s="284"/>
      <c r="H86" s="284"/>
      <c r="I86" s="284"/>
      <c r="J86" s="284"/>
      <c r="K86" s="284"/>
      <c r="L86" s="284"/>
      <c r="M86" s="285"/>
      <c r="N86" s="285"/>
      <c r="O86" s="284"/>
    </row>
    <row r="128" spans="1:15" s="422" customFormat="1" ht="25.5" x14ac:dyDescent="0.5">
      <c r="A128" s="421"/>
      <c r="E128" s="421"/>
      <c r="F128" s="421"/>
      <c r="G128" s="421"/>
      <c r="H128" s="421"/>
      <c r="I128" s="421"/>
      <c r="J128" s="421"/>
      <c r="K128" s="421"/>
      <c r="L128" s="421"/>
      <c r="M128" s="423"/>
      <c r="N128" s="423"/>
      <c r="O128" s="421"/>
    </row>
    <row r="129" spans="1:15" s="422" customFormat="1" ht="25.5" x14ac:dyDescent="0.5">
      <c r="A129" s="421"/>
      <c r="E129" s="421"/>
      <c r="F129" s="421"/>
      <c r="G129" s="421"/>
      <c r="H129" s="421"/>
      <c r="I129" s="421"/>
      <c r="J129" s="421"/>
      <c r="K129" s="421"/>
      <c r="L129" s="421"/>
      <c r="M129" s="423"/>
      <c r="N129" s="423"/>
      <c r="O129" s="421"/>
    </row>
    <row r="130" spans="1:15" s="422" customFormat="1" ht="26.25" x14ac:dyDescent="0.55000000000000004">
      <c r="A130" s="421"/>
      <c r="D130" s="97"/>
      <c r="E130" s="421"/>
      <c r="F130" s="421"/>
      <c r="G130" s="421"/>
      <c r="H130" s="421"/>
      <c r="I130" s="421"/>
      <c r="J130" s="421"/>
      <c r="K130" s="421"/>
      <c r="L130" s="421"/>
      <c r="M130" s="423"/>
      <c r="N130" s="423"/>
      <c r="O130" s="421"/>
    </row>
    <row r="131" spans="1:15" s="422" customFormat="1" ht="25.5" x14ac:dyDescent="0.5">
      <c r="A131" s="421"/>
      <c r="E131" s="421"/>
      <c r="F131" s="421"/>
      <c r="G131" s="421"/>
      <c r="H131" s="421"/>
      <c r="I131" s="421"/>
      <c r="J131" s="421"/>
      <c r="K131" s="421"/>
      <c r="L131" s="421"/>
      <c r="M131" s="423"/>
      <c r="N131" s="423"/>
      <c r="O131" s="421"/>
    </row>
    <row r="132" spans="1:15" s="422" customFormat="1" ht="25.5" x14ac:dyDescent="0.5">
      <c r="A132" s="421"/>
      <c r="E132" s="421"/>
      <c r="F132" s="421"/>
      <c r="G132" s="421"/>
      <c r="H132" s="421"/>
      <c r="I132" s="421"/>
      <c r="J132" s="421"/>
      <c r="K132" s="421"/>
      <c r="L132" s="421"/>
      <c r="M132" s="423"/>
      <c r="N132" s="423"/>
      <c r="O132" s="421"/>
    </row>
    <row r="133" spans="1:15" s="422" customFormat="1" ht="25.5" x14ac:dyDescent="0.5">
      <c r="A133" s="421"/>
      <c r="E133" s="421"/>
      <c r="F133" s="421"/>
      <c r="G133" s="421"/>
      <c r="H133" s="421"/>
      <c r="I133" s="421"/>
      <c r="J133" s="421"/>
      <c r="K133" s="421"/>
      <c r="L133" s="421"/>
      <c r="M133" s="423"/>
      <c r="N133" s="423"/>
      <c r="O133" s="421"/>
    </row>
    <row r="134" spans="1:15" s="422" customFormat="1" ht="25.5" x14ac:dyDescent="0.5">
      <c r="A134" s="421"/>
      <c r="E134" s="421"/>
      <c r="F134" s="421"/>
      <c r="G134" s="421"/>
      <c r="H134" s="421"/>
      <c r="I134" s="421"/>
      <c r="J134" s="421"/>
      <c r="K134" s="421"/>
      <c r="L134" s="421"/>
      <c r="M134" s="423"/>
      <c r="N134" s="423"/>
      <c r="O134" s="421"/>
    </row>
    <row r="135" spans="1:15" s="422" customFormat="1" ht="25.5" x14ac:dyDescent="0.5">
      <c r="A135" s="421"/>
      <c r="E135" s="421"/>
      <c r="F135" s="421"/>
      <c r="G135" s="421"/>
      <c r="H135" s="421"/>
      <c r="I135" s="421"/>
      <c r="J135" s="421"/>
      <c r="K135" s="421"/>
      <c r="L135" s="421"/>
      <c r="M135" s="423"/>
      <c r="N135" s="423"/>
      <c r="O135" s="421"/>
    </row>
    <row r="136" spans="1:15" s="422" customFormat="1" ht="25.5" x14ac:dyDescent="0.5">
      <c r="A136" s="421"/>
      <c r="E136" s="421"/>
      <c r="F136" s="421"/>
      <c r="G136" s="421"/>
      <c r="H136" s="421"/>
      <c r="I136" s="421"/>
      <c r="J136" s="421"/>
      <c r="K136" s="421"/>
      <c r="L136" s="421"/>
      <c r="M136" s="423"/>
      <c r="N136" s="423"/>
      <c r="O136" s="421"/>
    </row>
    <row r="137" spans="1:15" s="422" customFormat="1" ht="25.5" x14ac:dyDescent="0.5">
      <c r="A137" s="421"/>
      <c r="E137" s="421"/>
      <c r="F137" s="421"/>
      <c r="G137" s="421"/>
      <c r="H137" s="421"/>
      <c r="I137" s="421"/>
      <c r="J137" s="421"/>
      <c r="K137" s="421"/>
      <c r="L137" s="421"/>
      <c r="M137" s="423"/>
      <c r="N137" s="423"/>
      <c r="O137" s="421"/>
    </row>
    <row r="138" spans="1:15" s="422" customFormat="1" ht="25.5" x14ac:dyDescent="0.5">
      <c r="A138" s="421"/>
      <c r="E138" s="421"/>
      <c r="F138" s="421"/>
      <c r="G138" s="421"/>
      <c r="H138" s="421"/>
      <c r="I138" s="421"/>
      <c r="J138" s="421"/>
      <c r="K138" s="421"/>
      <c r="L138" s="421"/>
      <c r="M138" s="423"/>
      <c r="N138" s="423"/>
      <c r="O138" s="421"/>
    </row>
    <row r="139" spans="1:15" s="422" customFormat="1" ht="25.5" x14ac:dyDescent="0.5">
      <c r="A139" s="421"/>
      <c r="E139" s="421"/>
      <c r="F139" s="421"/>
      <c r="G139" s="421"/>
      <c r="H139" s="421"/>
      <c r="I139" s="421"/>
      <c r="J139" s="421"/>
      <c r="K139" s="421"/>
      <c r="L139" s="421"/>
      <c r="M139" s="423"/>
      <c r="N139" s="423"/>
      <c r="O139" s="421"/>
    </row>
    <row r="140" spans="1:15" s="422" customFormat="1" ht="25.5" x14ac:dyDescent="0.5">
      <c r="A140" s="421"/>
      <c r="E140" s="421"/>
      <c r="F140" s="421"/>
      <c r="G140" s="421"/>
      <c r="H140" s="421"/>
      <c r="I140" s="421"/>
      <c r="J140" s="421"/>
      <c r="K140" s="421"/>
      <c r="L140" s="421"/>
      <c r="M140" s="423"/>
      <c r="N140" s="423"/>
      <c r="O140" s="421"/>
    </row>
    <row r="141" spans="1:15" s="422" customFormat="1" ht="25.5" x14ac:dyDescent="0.5">
      <c r="A141" s="421"/>
      <c r="E141" s="421"/>
      <c r="F141" s="421"/>
      <c r="G141" s="421"/>
      <c r="H141" s="421"/>
      <c r="I141" s="421"/>
      <c r="J141" s="421"/>
      <c r="K141" s="421"/>
      <c r="L141" s="421"/>
      <c r="M141" s="423"/>
      <c r="N141" s="423"/>
      <c r="O141" s="421"/>
    </row>
    <row r="142" spans="1:15" s="422" customFormat="1" ht="25.5" x14ac:dyDescent="0.5">
      <c r="A142" s="421"/>
      <c r="E142" s="421"/>
      <c r="F142" s="421"/>
      <c r="G142" s="421"/>
      <c r="H142" s="421"/>
      <c r="I142" s="421"/>
      <c r="J142" s="421"/>
      <c r="K142" s="421"/>
      <c r="L142" s="421"/>
      <c r="M142" s="423"/>
      <c r="N142" s="423"/>
      <c r="O142" s="421"/>
    </row>
    <row r="143" spans="1:15" s="422" customFormat="1" ht="25.5" x14ac:dyDescent="0.5">
      <c r="A143" s="421"/>
      <c r="E143" s="421"/>
      <c r="F143" s="421"/>
      <c r="G143" s="421"/>
      <c r="H143" s="421"/>
      <c r="I143" s="421"/>
      <c r="J143" s="421"/>
      <c r="K143" s="421"/>
      <c r="L143" s="421"/>
      <c r="M143" s="423"/>
      <c r="N143" s="423"/>
      <c r="O143" s="421"/>
    </row>
    <row r="144" spans="1:15" s="422" customFormat="1" ht="25.5" x14ac:dyDescent="0.5">
      <c r="A144" s="421"/>
      <c r="E144" s="421"/>
      <c r="F144" s="421"/>
      <c r="G144" s="421"/>
      <c r="H144" s="421"/>
      <c r="I144" s="421"/>
      <c r="J144" s="421"/>
      <c r="K144" s="421"/>
      <c r="L144" s="421"/>
      <c r="M144" s="423"/>
      <c r="N144" s="423"/>
      <c r="O144" s="421"/>
    </row>
    <row r="145" spans="1:15" s="422" customFormat="1" ht="25.5" x14ac:dyDescent="0.5">
      <c r="A145" s="421"/>
      <c r="E145" s="421"/>
      <c r="F145" s="421"/>
      <c r="G145" s="421"/>
      <c r="H145" s="421"/>
      <c r="I145" s="421"/>
      <c r="J145" s="421"/>
      <c r="K145" s="421"/>
      <c r="L145" s="421"/>
      <c r="M145" s="423"/>
      <c r="N145" s="423"/>
      <c r="O145" s="421"/>
    </row>
    <row r="146" spans="1:15" s="422" customFormat="1" ht="25.5" x14ac:dyDescent="0.5">
      <c r="A146" s="421"/>
      <c r="E146" s="421"/>
      <c r="F146" s="421"/>
      <c r="G146" s="421"/>
      <c r="H146" s="421"/>
      <c r="I146" s="421"/>
      <c r="J146" s="421"/>
      <c r="K146" s="421"/>
      <c r="L146" s="421"/>
      <c r="M146" s="423"/>
      <c r="N146" s="423"/>
      <c r="O146" s="421"/>
    </row>
    <row r="147" spans="1:15" s="422" customFormat="1" ht="25.5" x14ac:dyDescent="0.5">
      <c r="A147" s="421"/>
      <c r="E147" s="421"/>
      <c r="F147" s="421"/>
      <c r="G147" s="421"/>
      <c r="H147" s="421"/>
      <c r="I147" s="421"/>
      <c r="J147" s="421"/>
      <c r="K147" s="421"/>
      <c r="L147" s="421"/>
      <c r="M147" s="423"/>
      <c r="N147" s="423"/>
      <c r="O147" s="421"/>
    </row>
    <row r="148" spans="1:15" s="422" customFormat="1" ht="25.5" x14ac:dyDescent="0.5">
      <c r="A148" s="421"/>
      <c r="E148" s="421"/>
      <c r="F148" s="421"/>
      <c r="G148" s="421"/>
      <c r="H148" s="421"/>
      <c r="I148" s="421"/>
      <c r="J148" s="421"/>
      <c r="K148" s="421"/>
      <c r="L148" s="421"/>
      <c r="M148" s="423"/>
      <c r="N148" s="423"/>
      <c r="O148" s="421"/>
    </row>
    <row r="149" spans="1:15" s="422" customFormat="1" ht="25.5" x14ac:dyDescent="0.5">
      <c r="A149" s="421"/>
      <c r="E149" s="421"/>
      <c r="F149" s="421"/>
      <c r="G149" s="421"/>
      <c r="H149" s="421"/>
      <c r="I149" s="421"/>
      <c r="J149" s="421"/>
      <c r="K149" s="421"/>
      <c r="L149" s="421"/>
      <c r="M149" s="423"/>
      <c r="N149" s="423"/>
      <c r="O149" s="421"/>
    </row>
    <row r="150" spans="1:15" s="422" customFormat="1" ht="25.5" x14ac:dyDescent="0.5">
      <c r="A150" s="421"/>
      <c r="E150" s="421"/>
      <c r="F150" s="421"/>
      <c r="G150" s="421"/>
      <c r="H150" s="421"/>
      <c r="I150" s="421"/>
      <c r="J150" s="421"/>
      <c r="K150" s="421"/>
      <c r="L150" s="421"/>
      <c r="M150" s="423"/>
      <c r="N150" s="423"/>
      <c r="O150" s="421"/>
    </row>
    <row r="151" spans="1:15" s="422" customFormat="1" ht="25.5" x14ac:dyDescent="0.5">
      <c r="A151" s="421"/>
      <c r="E151" s="421"/>
      <c r="F151" s="421"/>
      <c r="G151" s="421"/>
      <c r="H151" s="421"/>
      <c r="I151" s="421"/>
      <c r="J151" s="421"/>
      <c r="K151" s="421"/>
      <c r="L151" s="421"/>
      <c r="M151" s="423"/>
      <c r="N151" s="423"/>
      <c r="O151" s="421"/>
    </row>
  </sheetData>
  <mergeCells count="1">
    <mergeCell ref="F3:O3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T151"/>
  <sheetViews>
    <sheetView view="pageBreakPreview" topLeftCell="A65" zoomScale="75" zoomScaleNormal="100" zoomScaleSheetLayoutView="75" workbookViewId="0">
      <selection activeCell="V120" sqref="V120"/>
    </sheetView>
  </sheetViews>
  <sheetFormatPr defaultRowHeight="21.75" x14ac:dyDescent="0.5"/>
  <cols>
    <col min="1" max="1" width="1.875" style="94" customWidth="1"/>
    <col min="2" max="2" width="2.625" style="94" customWidth="1"/>
    <col min="3" max="3" width="15.5" style="94" customWidth="1"/>
    <col min="4" max="5" width="9" style="94"/>
    <col min="6" max="6" width="9" style="95"/>
    <col min="7" max="8" width="9" style="94" hidden="1" customWidth="1"/>
    <col min="9" max="9" width="9" style="95" hidden="1" customWidth="1"/>
    <col min="10" max="10" width="6" style="94" hidden="1" customWidth="1"/>
    <col min="11" max="12" width="6.125" style="94" bestFit="1" customWidth="1"/>
    <col min="13" max="13" width="7.5" style="94" bestFit="1" customWidth="1"/>
    <col min="14" max="14" width="7" style="94" bestFit="1" customWidth="1"/>
    <col min="15" max="17" width="6.125" style="94" bestFit="1" customWidth="1"/>
    <col min="18" max="18" width="6.25" style="94" bestFit="1" customWidth="1"/>
    <col min="19" max="19" width="6.125" style="94" bestFit="1" customWidth="1"/>
    <col min="20" max="20" width="7" style="94" bestFit="1" customWidth="1"/>
    <col min="21" max="16384" width="9" style="94"/>
  </cols>
  <sheetData>
    <row r="1" spans="1:20" s="44" customFormat="1" x14ac:dyDescent="0.5">
      <c r="A1" s="1" t="s">
        <v>166</v>
      </c>
      <c r="C1" s="45"/>
      <c r="D1" s="46"/>
      <c r="E1" s="46"/>
      <c r="F1" s="47"/>
      <c r="G1" s="46"/>
      <c r="H1" s="46"/>
      <c r="I1" s="47"/>
      <c r="J1" s="48"/>
      <c r="K1" s="48"/>
      <c r="L1" s="48"/>
      <c r="M1" s="49"/>
      <c r="N1" s="49"/>
      <c r="O1" s="49"/>
      <c r="P1" s="49"/>
      <c r="Q1" s="49"/>
      <c r="R1" s="50"/>
      <c r="S1" s="50"/>
      <c r="T1" s="51"/>
    </row>
    <row r="2" spans="1:20" s="44" customFormat="1" ht="6.75" customHeight="1" x14ac:dyDescent="0.5">
      <c r="A2" s="366"/>
      <c r="C2" s="45"/>
      <c r="D2" s="46"/>
      <c r="E2" s="46"/>
      <c r="F2" s="47"/>
      <c r="G2" s="46"/>
      <c r="H2" s="46"/>
      <c r="I2" s="47"/>
      <c r="J2" s="48"/>
      <c r="K2" s="48"/>
      <c r="L2" s="48"/>
      <c r="M2" s="49"/>
      <c r="N2" s="49"/>
      <c r="O2" s="49"/>
      <c r="P2" s="49"/>
      <c r="Q2" s="49"/>
      <c r="R2" s="53"/>
      <c r="S2" s="53"/>
      <c r="T2" s="54"/>
    </row>
    <row r="3" spans="1:20" s="44" customFormat="1" x14ac:dyDescent="0.5">
      <c r="A3" s="55"/>
      <c r="B3" s="55"/>
      <c r="C3" s="56" t="s">
        <v>38</v>
      </c>
      <c r="D3" s="57" t="s">
        <v>1</v>
      </c>
      <c r="E3" s="58" t="s">
        <v>1</v>
      </c>
      <c r="F3" s="59" t="s">
        <v>2</v>
      </c>
      <c r="G3" s="58" t="s">
        <v>1</v>
      </c>
      <c r="H3" s="58" t="s">
        <v>1</v>
      </c>
      <c r="I3" s="59" t="s">
        <v>2</v>
      </c>
      <c r="J3" s="291" t="s">
        <v>43</v>
      </c>
      <c r="K3" s="292"/>
      <c r="L3" s="292"/>
      <c r="M3" s="292"/>
      <c r="N3" s="292"/>
      <c r="O3" s="292"/>
      <c r="P3" s="292"/>
      <c r="Q3" s="292"/>
      <c r="R3" s="292"/>
      <c r="S3" s="292"/>
      <c r="T3" s="293"/>
    </row>
    <row r="4" spans="1:20" s="44" customFormat="1" x14ac:dyDescent="0.5">
      <c r="A4" s="60"/>
      <c r="B4" s="60"/>
      <c r="C4" s="61" t="s">
        <v>160</v>
      </c>
      <c r="D4" s="62" t="s">
        <v>4</v>
      </c>
      <c r="E4" s="63" t="s">
        <v>5</v>
      </c>
      <c r="F4" s="64" t="s">
        <v>5</v>
      </c>
      <c r="G4" s="63" t="s">
        <v>4</v>
      </c>
      <c r="H4" s="63" t="s">
        <v>5</v>
      </c>
      <c r="I4" s="64" t="s">
        <v>5</v>
      </c>
      <c r="J4" s="65" t="s">
        <v>40</v>
      </c>
      <c r="K4" s="65" t="s">
        <v>6</v>
      </c>
      <c r="L4" s="65" t="s">
        <v>7</v>
      </c>
      <c r="M4" s="65" t="s">
        <v>8</v>
      </c>
      <c r="N4" s="65" t="s">
        <v>9</v>
      </c>
      <c r="O4" s="65" t="s">
        <v>10</v>
      </c>
      <c r="P4" s="65" t="s">
        <v>11</v>
      </c>
      <c r="Q4" s="65" t="s">
        <v>12</v>
      </c>
      <c r="R4" s="65" t="s">
        <v>13</v>
      </c>
      <c r="S4" s="63" t="s">
        <v>14</v>
      </c>
      <c r="T4" s="62">
        <f>-U48</f>
        <v>0</v>
      </c>
    </row>
    <row r="5" spans="1:20" s="44" customFormat="1" x14ac:dyDescent="0.5">
      <c r="A5" s="66"/>
      <c r="B5" s="66"/>
      <c r="C5" s="67"/>
      <c r="D5" s="68" t="s">
        <v>16</v>
      </c>
      <c r="E5" s="65" t="s">
        <v>16</v>
      </c>
      <c r="F5" s="69" t="s">
        <v>16</v>
      </c>
      <c r="G5" s="65" t="s">
        <v>16</v>
      </c>
      <c r="H5" s="65" t="s">
        <v>16</v>
      </c>
      <c r="I5" s="69" t="s">
        <v>16</v>
      </c>
      <c r="J5" s="70" t="s">
        <v>41</v>
      </c>
      <c r="K5" s="70" t="s">
        <v>17</v>
      </c>
      <c r="L5" s="70" t="s">
        <v>18</v>
      </c>
      <c r="M5" s="70" t="s">
        <v>15</v>
      </c>
      <c r="N5" s="70" t="s">
        <v>19</v>
      </c>
      <c r="O5" s="70" t="s">
        <v>20</v>
      </c>
      <c r="P5" s="70" t="s">
        <v>21</v>
      </c>
      <c r="Q5" s="70" t="s">
        <v>22</v>
      </c>
      <c r="R5" s="70" t="s">
        <v>23</v>
      </c>
      <c r="S5" s="70" t="s">
        <v>24</v>
      </c>
      <c r="T5" s="70" t="s">
        <v>25</v>
      </c>
    </row>
    <row r="6" spans="1:20" s="44" customFormat="1" hidden="1" x14ac:dyDescent="0.5">
      <c r="A6" s="71" t="s">
        <v>44</v>
      </c>
      <c r="B6" s="72"/>
      <c r="C6" s="73"/>
      <c r="D6" s="74">
        <f>+D7+D13+D19+D25+D31+D37</f>
        <v>39063</v>
      </c>
      <c r="E6" s="74">
        <v>2933</v>
      </c>
      <c r="F6" s="75">
        <f t="shared" ref="F6:F7" si="0">+(E6*100)/D6</f>
        <v>7.5083838926861732</v>
      </c>
      <c r="G6" s="74">
        <f t="shared" ref="G6:T6" si="1">+G7+G13+G19+G25+G31+G37</f>
        <v>36130</v>
      </c>
      <c r="H6" s="74">
        <f t="shared" si="1"/>
        <v>2933</v>
      </c>
      <c r="I6" s="74" t="e">
        <f t="shared" si="1"/>
        <v>#DIV/0!</v>
      </c>
      <c r="J6" s="74">
        <f t="shared" si="1"/>
        <v>0</v>
      </c>
      <c r="K6" s="74">
        <f t="shared" si="1"/>
        <v>50</v>
      </c>
      <c r="L6" s="74">
        <f t="shared" si="1"/>
        <v>830</v>
      </c>
      <c r="M6" s="74">
        <f t="shared" si="1"/>
        <v>1860</v>
      </c>
      <c r="N6" s="74">
        <f t="shared" si="1"/>
        <v>65</v>
      </c>
      <c r="O6" s="74">
        <f t="shared" si="1"/>
        <v>56</v>
      </c>
      <c r="P6" s="74">
        <f t="shared" si="1"/>
        <v>61</v>
      </c>
      <c r="Q6" s="74">
        <f t="shared" si="1"/>
        <v>3</v>
      </c>
      <c r="R6" s="74">
        <f t="shared" si="1"/>
        <v>8</v>
      </c>
      <c r="S6" s="74">
        <f t="shared" si="1"/>
        <v>0</v>
      </c>
      <c r="T6" s="74">
        <f t="shared" si="1"/>
        <v>0</v>
      </c>
    </row>
    <row r="7" spans="1:20" s="44" customFormat="1" hidden="1" x14ac:dyDescent="0.5">
      <c r="A7" s="76"/>
      <c r="B7" s="22" t="s">
        <v>26</v>
      </c>
      <c r="C7" s="2"/>
      <c r="D7" s="77">
        <f>SUM(D8:D12)</f>
        <v>28241</v>
      </c>
      <c r="E7" s="77">
        <v>2186</v>
      </c>
      <c r="F7" s="78">
        <f t="shared" si="0"/>
        <v>7.7405191034311818</v>
      </c>
      <c r="G7" s="77">
        <f>SUM(G8:G12)</f>
        <v>26055</v>
      </c>
      <c r="H7" s="77">
        <f t="shared" ref="H7:T7" si="2">SUM(H8:H12)</f>
        <v>2186</v>
      </c>
      <c r="I7" s="78">
        <f t="shared" si="2"/>
        <v>35.056339353052316</v>
      </c>
      <c r="J7" s="77">
        <f t="shared" si="2"/>
        <v>0</v>
      </c>
      <c r="K7" s="77">
        <f t="shared" si="2"/>
        <v>0</v>
      </c>
      <c r="L7" s="77">
        <f t="shared" si="2"/>
        <v>538</v>
      </c>
      <c r="M7" s="77">
        <f t="shared" si="2"/>
        <v>1511</v>
      </c>
      <c r="N7" s="77">
        <f t="shared" si="2"/>
        <v>43</v>
      </c>
      <c r="O7" s="77">
        <f t="shared" si="2"/>
        <v>43</v>
      </c>
      <c r="P7" s="77">
        <f t="shared" si="2"/>
        <v>48</v>
      </c>
      <c r="Q7" s="77">
        <f t="shared" si="2"/>
        <v>3</v>
      </c>
      <c r="R7" s="77">
        <f t="shared" si="2"/>
        <v>0</v>
      </c>
      <c r="S7" s="77">
        <f t="shared" si="2"/>
        <v>0</v>
      </c>
      <c r="T7" s="77">
        <f t="shared" si="2"/>
        <v>0</v>
      </c>
    </row>
    <row r="8" spans="1:20" s="44" customFormat="1" hidden="1" x14ac:dyDescent="0.5">
      <c r="A8" s="76"/>
      <c r="B8" s="79"/>
      <c r="C8" s="80" t="s">
        <v>33</v>
      </c>
      <c r="D8" s="81">
        <f>+G8+H8</f>
        <v>10942</v>
      </c>
      <c r="E8" s="4">
        <v>1564</v>
      </c>
      <c r="F8" s="24">
        <f>+(E8*100)/D8</f>
        <v>14.29354779747761</v>
      </c>
      <c r="G8" s="81">
        <v>9378</v>
      </c>
      <c r="H8" s="4">
        <f>SUM(K8:T8)</f>
        <v>1564</v>
      </c>
      <c r="I8" s="24">
        <f>+(H8*100)/G8</f>
        <v>16.677329921091918</v>
      </c>
      <c r="J8" s="81">
        <v>0</v>
      </c>
      <c r="K8" s="81">
        <v>0</v>
      </c>
      <c r="L8" s="81">
        <v>52</v>
      </c>
      <c r="M8" s="81">
        <v>1510</v>
      </c>
      <c r="N8" s="81">
        <v>1</v>
      </c>
      <c r="O8" s="81">
        <v>1</v>
      </c>
      <c r="P8" s="81">
        <v>0</v>
      </c>
      <c r="Q8" s="81">
        <v>0</v>
      </c>
      <c r="R8" s="81">
        <v>0</v>
      </c>
      <c r="S8" s="81">
        <v>0</v>
      </c>
      <c r="T8" s="81">
        <v>0</v>
      </c>
    </row>
    <row r="9" spans="1:20" s="44" customFormat="1" hidden="1" x14ac:dyDescent="0.5">
      <c r="A9" s="76"/>
      <c r="B9" s="79"/>
      <c r="C9" s="80" t="s">
        <v>34</v>
      </c>
      <c r="D9" s="81">
        <f t="shared" ref="D9:D12" si="3">+G9+H9</f>
        <v>6153</v>
      </c>
      <c r="E9" s="4">
        <v>311</v>
      </c>
      <c r="F9" s="24">
        <f t="shared" ref="F9:F13" si="4">+(E9*100)/D9</f>
        <v>5.0544449861856009</v>
      </c>
      <c r="G9" s="81">
        <v>5842</v>
      </c>
      <c r="H9" s="4">
        <f t="shared" ref="H9:H12" si="5">SUM(K9:T9)</f>
        <v>311</v>
      </c>
      <c r="I9" s="24">
        <f t="shared" ref="I9:I12" si="6">+(H9*100)/G9</f>
        <v>5.3235193426908589</v>
      </c>
      <c r="J9" s="81">
        <v>0</v>
      </c>
      <c r="K9" s="81">
        <v>0</v>
      </c>
      <c r="L9" s="81">
        <v>249</v>
      </c>
      <c r="M9" s="81">
        <v>1</v>
      </c>
      <c r="N9" s="81">
        <v>30</v>
      </c>
      <c r="O9" s="81">
        <v>31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</row>
    <row r="10" spans="1:20" s="44" customFormat="1" hidden="1" x14ac:dyDescent="0.5">
      <c r="A10" s="76"/>
      <c r="B10" s="79"/>
      <c r="C10" s="80" t="s">
        <v>35</v>
      </c>
      <c r="D10" s="81">
        <f t="shared" si="3"/>
        <v>5509</v>
      </c>
      <c r="E10" s="4">
        <v>120</v>
      </c>
      <c r="F10" s="24">
        <f t="shared" si="4"/>
        <v>2.1782537665638046</v>
      </c>
      <c r="G10" s="81">
        <v>5389</v>
      </c>
      <c r="H10" s="4">
        <f t="shared" si="5"/>
        <v>120</v>
      </c>
      <c r="I10" s="24">
        <f t="shared" si="6"/>
        <v>2.2267582111709037</v>
      </c>
      <c r="J10" s="81">
        <v>0</v>
      </c>
      <c r="K10" s="81">
        <v>0</v>
      </c>
      <c r="L10" s="81">
        <v>83</v>
      </c>
      <c r="M10" s="81">
        <v>0</v>
      </c>
      <c r="N10" s="81">
        <v>6</v>
      </c>
      <c r="O10" s="81">
        <v>9</v>
      </c>
      <c r="P10" s="81">
        <v>22</v>
      </c>
      <c r="Q10" s="81">
        <v>0</v>
      </c>
      <c r="R10" s="81">
        <v>0</v>
      </c>
      <c r="S10" s="81">
        <v>0</v>
      </c>
      <c r="T10" s="81">
        <v>0</v>
      </c>
    </row>
    <row r="11" spans="1:20" s="44" customFormat="1" hidden="1" x14ac:dyDescent="0.5">
      <c r="A11" s="76"/>
      <c r="B11" s="79"/>
      <c r="C11" s="80" t="s">
        <v>36</v>
      </c>
      <c r="D11" s="81">
        <f t="shared" si="3"/>
        <v>4071</v>
      </c>
      <c r="E11" s="4">
        <v>56</v>
      </c>
      <c r="F11" s="24">
        <f t="shared" si="4"/>
        <v>1.3755833947433063</v>
      </c>
      <c r="G11" s="81">
        <v>4015</v>
      </c>
      <c r="H11" s="4">
        <f t="shared" si="5"/>
        <v>56</v>
      </c>
      <c r="I11" s="24">
        <f t="shared" si="6"/>
        <v>1.3947696139476962</v>
      </c>
      <c r="J11" s="81">
        <v>0</v>
      </c>
      <c r="K11" s="81">
        <v>0</v>
      </c>
      <c r="L11" s="81">
        <v>38</v>
      </c>
      <c r="M11" s="81">
        <v>0</v>
      </c>
      <c r="N11" s="81">
        <v>4</v>
      </c>
      <c r="O11" s="81">
        <v>1</v>
      </c>
      <c r="P11" s="81">
        <v>13</v>
      </c>
      <c r="Q11" s="81">
        <v>0</v>
      </c>
      <c r="R11" s="81">
        <v>0</v>
      </c>
      <c r="S11" s="81">
        <v>0</v>
      </c>
      <c r="T11" s="81">
        <v>0</v>
      </c>
    </row>
    <row r="12" spans="1:20" s="44" customFormat="1" hidden="1" x14ac:dyDescent="0.5">
      <c r="A12" s="76"/>
      <c r="B12" s="79"/>
      <c r="C12" s="80" t="s">
        <v>37</v>
      </c>
      <c r="D12" s="81">
        <f t="shared" si="3"/>
        <v>1566</v>
      </c>
      <c r="E12" s="4">
        <v>135</v>
      </c>
      <c r="F12" s="24">
        <f t="shared" si="4"/>
        <v>8.6206896551724146</v>
      </c>
      <c r="G12" s="81">
        <f>1048+283+85+15</f>
        <v>1431</v>
      </c>
      <c r="H12" s="4">
        <f t="shared" si="5"/>
        <v>135</v>
      </c>
      <c r="I12" s="24">
        <f t="shared" si="6"/>
        <v>9.433962264150944</v>
      </c>
      <c r="J12" s="81">
        <v>0</v>
      </c>
      <c r="K12" s="81">
        <v>0</v>
      </c>
      <c r="L12" s="81">
        <f>62+39+12+2+1</f>
        <v>116</v>
      </c>
      <c r="M12" s="81">
        <v>0</v>
      </c>
      <c r="N12" s="81">
        <f>1+1</f>
        <v>2</v>
      </c>
      <c r="O12" s="81">
        <v>1</v>
      </c>
      <c r="P12" s="81">
        <f>7+4+2</f>
        <v>13</v>
      </c>
      <c r="Q12" s="81">
        <v>3</v>
      </c>
      <c r="R12" s="81">
        <v>0</v>
      </c>
      <c r="S12" s="81">
        <v>0</v>
      </c>
      <c r="T12" s="81">
        <v>0</v>
      </c>
    </row>
    <row r="13" spans="1:20" s="44" customFormat="1" hidden="1" x14ac:dyDescent="0.5">
      <c r="A13" s="76"/>
      <c r="B13" s="82" t="s">
        <v>27</v>
      </c>
      <c r="C13" s="83"/>
      <c r="D13" s="77">
        <f>SUM(D14:D18)</f>
        <v>7357</v>
      </c>
      <c r="E13" s="77">
        <v>438</v>
      </c>
      <c r="F13" s="78">
        <f t="shared" si="4"/>
        <v>5.9535136604594268</v>
      </c>
      <c r="G13" s="77">
        <f>SUM(G14:G18)</f>
        <v>6919</v>
      </c>
      <c r="H13" s="77">
        <f t="shared" ref="H13:T13" si="7">SUM(H14:H18)</f>
        <v>438</v>
      </c>
      <c r="I13" s="78">
        <f t="shared" si="7"/>
        <v>32.846497073861045</v>
      </c>
      <c r="J13" s="77">
        <f t="shared" si="7"/>
        <v>0</v>
      </c>
      <c r="K13" s="77">
        <f t="shared" si="7"/>
        <v>0</v>
      </c>
      <c r="L13" s="77">
        <f t="shared" si="7"/>
        <v>292</v>
      </c>
      <c r="M13" s="77">
        <f t="shared" si="7"/>
        <v>100</v>
      </c>
      <c r="N13" s="77">
        <f t="shared" si="7"/>
        <v>22</v>
      </c>
      <c r="O13" s="77">
        <f t="shared" si="7"/>
        <v>11</v>
      </c>
      <c r="P13" s="77">
        <f t="shared" si="7"/>
        <v>13</v>
      </c>
      <c r="Q13" s="77">
        <f t="shared" si="7"/>
        <v>0</v>
      </c>
      <c r="R13" s="77">
        <f t="shared" si="7"/>
        <v>0</v>
      </c>
      <c r="S13" s="77">
        <f t="shared" si="7"/>
        <v>0</v>
      </c>
      <c r="T13" s="77">
        <f t="shared" si="7"/>
        <v>0</v>
      </c>
    </row>
    <row r="14" spans="1:20" s="44" customFormat="1" hidden="1" x14ac:dyDescent="0.5">
      <c r="A14" s="76"/>
      <c r="B14" s="79"/>
      <c r="C14" s="80" t="s">
        <v>33</v>
      </c>
      <c r="D14" s="81">
        <f>+G14+H14</f>
        <v>2903</v>
      </c>
      <c r="E14" s="4">
        <v>201</v>
      </c>
      <c r="F14" s="24">
        <f>+(E14*100)/D14</f>
        <v>6.9238718566999653</v>
      </c>
      <c r="G14" s="81">
        <f>1344+1358</f>
        <v>2702</v>
      </c>
      <c r="H14" s="4">
        <f>SUM(J14:R14)</f>
        <v>201</v>
      </c>
      <c r="I14" s="24">
        <f>+(H14*100)/G14</f>
        <v>7.438934122871947</v>
      </c>
      <c r="J14" s="81">
        <v>0</v>
      </c>
      <c r="K14" s="81">
        <v>0</v>
      </c>
      <c r="L14" s="81">
        <f>49+52</f>
        <v>101</v>
      </c>
      <c r="M14" s="81">
        <f>94+6</f>
        <v>100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</row>
    <row r="15" spans="1:20" s="44" customFormat="1" hidden="1" x14ac:dyDescent="0.5">
      <c r="A15" s="76"/>
      <c r="B15" s="79"/>
      <c r="C15" s="80" t="s">
        <v>34</v>
      </c>
      <c r="D15" s="81">
        <f t="shared" ref="D15:D18" si="8">+G15+H15</f>
        <v>2314</v>
      </c>
      <c r="E15" s="4">
        <v>108</v>
      </c>
      <c r="F15" s="24">
        <f t="shared" ref="F15:F19" si="9">+(E15*100)/D15</f>
        <v>4.6672428694900603</v>
      </c>
      <c r="G15" s="81">
        <f>1297+909</f>
        <v>2206</v>
      </c>
      <c r="H15" s="4">
        <f t="shared" ref="H15:H18" si="10">SUM(J15:R15)</f>
        <v>108</v>
      </c>
      <c r="I15" s="24">
        <f t="shared" ref="I15:I18" si="11">+(H15*100)/G15</f>
        <v>4.8957388939256576</v>
      </c>
      <c r="J15" s="81">
        <v>0</v>
      </c>
      <c r="K15" s="81">
        <v>0</v>
      </c>
      <c r="L15" s="81">
        <f>60+24</f>
        <v>84</v>
      </c>
      <c r="M15" s="81">
        <v>0</v>
      </c>
      <c r="N15" s="81">
        <f>15+1</f>
        <v>16</v>
      </c>
      <c r="O15" s="81">
        <v>7</v>
      </c>
      <c r="P15" s="81">
        <v>1</v>
      </c>
      <c r="Q15" s="81">
        <v>0</v>
      </c>
      <c r="R15" s="81">
        <v>0</v>
      </c>
      <c r="S15" s="81">
        <v>0</v>
      </c>
      <c r="T15" s="81">
        <v>0</v>
      </c>
    </row>
    <row r="16" spans="1:20" s="44" customFormat="1" hidden="1" x14ac:dyDescent="0.5">
      <c r="A16" s="76"/>
      <c r="B16" s="79"/>
      <c r="C16" s="80" t="s">
        <v>35</v>
      </c>
      <c r="D16" s="81">
        <f t="shared" si="8"/>
        <v>1116</v>
      </c>
      <c r="E16" s="4">
        <v>64</v>
      </c>
      <c r="F16" s="24">
        <f t="shared" si="9"/>
        <v>5.7347670250896057</v>
      </c>
      <c r="G16" s="81">
        <f>811+241</f>
        <v>1052</v>
      </c>
      <c r="H16" s="4">
        <f t="shared" si="10"/>
        <v>64</v>
      </c>
      <c r="I16" s="24">
        <f t="shared" si="11"/>
        <v>6.083650190114068</v>
      </c>
      <c r="J16" s="81">
        <v>0</v>
      </c>
      <c r="K16" s="81">
        <v>0</v>
      </c>
      <c r="L16" s="81">
        <f>39+8</f>
        <v>47</v>
      </c>
      <c r="M16" s="81">
        <v>0</v>
      </c>
      <c r="N16" s="81">
        <v>5</v>
      </c>
      <c r="O16" s="81">
        <v>4</v>
      </c>
      <c r="P16" s="81">
        <v>8</v>
      </c>
      <c r="Q16" s="81">
        <v>0</v>
      </c>
      <c r="R16" s="81">
        <v>0</v>
      </c>
      <c r="S16" s="81">
        <v>0</v>
      </c>
      <c r="T16" s="81">
        <v>0</v>
      </c>
    </row>
    <row r="17" spans="1:20" s="44" customFormat="1" hidden="1" x14ac:dyDescent="0.5">
      <c r="A17" s="76"/>
      <c r="B17" s="79"/>
      <c r="C17" s="80" t="s">
        <v>36</v>
      </c>
      <c r="D17" s="81">
        <f t="shared" si="8"/>
        <v>651</v>
      </c>
      <c r="E17" s="4">
        <v>35</v>
      </c>
      <c r="F17" s="24">
        <f t="shared" si="9"/>
        <v>5.376344086021505</v>
      </c>
      <c r="G17" s="81">
        <f>545+71</f>
        <v>616</v>
      </c>
      <c r="H17" s="4">
        <f t="shared" si="10"/>
        <v>35</v>
      </c>
      <c r="I17" s="24">
        <f t="shared" si="11"/>
        <v>5.6818181818181817</v>
      </c>
      <c r="J17" s="81">
        <v>0</v>
      </c>
      <c r="K17" s="81">
        <v>0</v>
      </c>
      <c r="L17" s="81">
        <f>27+4</f>
        <v>31</v>
      </c>
      <c r="M17" s="81">
        <v>0</v>
      </c>
      <c r="N17" s="81">
        <v>1</v>
      </c>
      <c r="O17" s="81">
        <v>0</v>
      </c>
      <c r="P17" s="81">
        <v>3</v>
      </c>
      <c r="Q17" s="81">
        <v>0</v>
      </c>
      <c r="R17" s="81">
        <v>0</v>
      </c>
      <c r="S17" s="81">
        <v>0</v>
      </c>
      <c r="T17" s="81">
        <v>0</v>
      </c>
    </row>
    <row r="18" spans="1:20" s="44" customFormat="1" hidden="1" x14ac:dyDescent="0.5">
      <c r="A18" s="76"/>
      <c r="B18" s="79"/>
      <c r="C18" s="80" t="s">
        <v>37</v>
      </c>
      <c r="D18" s="81">
        <f t="shared" si="8"/>
        <v>373</v>
      </c>
      <c r="E18" s="4">
        <v>30</v>
      </c>
      <c r="F18" s="24">
        <f t="shared" si="9"/>
        <v>8.0428954423592494</v>
      </c>
      <c r="G18" s="81">
        <f>204+12+81+5+25+14+2</f>
        <v>343</v>
      </c>
      <c r="H18" s="4">
        <f t="shared" si="10"/>
        <v>30</v>
      </c>
      <c r="I18" s="24">
        <f t="shared" si="11"/>
        <v>8.7463556851311957</v>
      </c>
      <c r="J18" s="81">
        <v>0</v>
      </c>
      <c r="K18" s="81">
        <v>0</v>
      </c>
      <c r="L18" s="81">
        <f>10+8+6+5</f>
        <v>29</v>
      </c>
      <c r="M18" s="81">
        <v>0</v>
      </c>
      <c r="N18" s="81">
        <v>0</v>
      </c>
      <c r="O18" s="81">
        <v>0</v>
      </c>
      <c r="P18" s="81">
        <v>1</v>
      </c>
      <c r="Q18" s="81">
        <v>0</v>
      </c>
      <c r="R18" s="81">
        <v>0</v>
      </c>
      <c r="S18" s="81">
        <v>0</v>
      </c>
      <c r="T18" s="81">
        <v>0</v>
      </c>
    </row>
    <row r="19" spans="1:20" s="44" customFormat="1" hidden="1" x14ac:dyDescent="0.5">
      <c r="A19" s="76"/>
      <c r="B19" s="82" t="s">
        <v>28</v>
      </c>
      <c r="C19" s="83"/>
      <c r="D19" s="77">
        <f>SUM(D20:D24)</f>
        <v>623</v>
      </c>
      <c r="E19" s="77">
        <v>58</v>
      </c>
      <c r="F19" s="77">
        <f t="shared" si="9"/>
        <v>9.3097913322632415</v>
      </c>
      <c r="G19" s="77">
        <f>SUM(G20:G24)</f>
        <v>565</v>
      </c>
      <c r="H19" s="77">
        <f t="shared" ref="H19:T19" si="12">SUM(H20:H24)</f>
        <v>58</v>
      </c>
      <c r="I19" s="78" t="e">
        <f t="shared" si="12"/>
        <v>#DIV/0!</v>
      </c>
      <c r="J19" s="77">
        <f t="shared" si="12"/>
        <v>0</v>
      </c>
      <c r="K19" s="77">
        <f t="shared" si="12"/>
        <v>13</v>
      </c>
      <c r="L19" s="77">
        <f t="shared" si="12"/>
        <v>0</v>
      </c>
      <c r="M19" s="77">
        <f t="shared" si="12"/>
        <v>42</v>
      </c>
      <c r="N19" s="77">
        <f t="shared" si="12"/>
        <v>0</v>
      </c>
      <c r="O19" s="77">
        <f t="shared" si="12"/>
        <v>0</v>
      </c>
      <c r="P19" s="77">
        <f t="shared" si="12"/>
        <v>0</v>
      </c>
      <c r="Q19" s="77">
        <f t="shared" si="12"/>
        <v>0</v>
      </c>
      <c r="R19" s="77">
        <f t="shared" si="12"/>
        <v>3</v>
      </c>
      <c r="S19" s="77">
        <f t="shared" si="12"/>
        <v>0</v>
      </c>
      <c r="T19" s="77">
        <f t="shared" si="12"/>
        <v>0</v>
      </c>
    </row>
    <row r="20" spans="1:20" s="44" customFormat="1" hidden="1" x14ac:dyDescent="0.5">
      <c r="A20" s="76"/>
      <c r="B20" s="79"/>
      <c r="C20" s="80" t="s">
        <v>33</v>
      </c>
      <c r="D20" s="81">
        <f>+G20+H20</f>
        <v>9</v>
      </c>
      <c r="E20" s="4">
        <v>9</v>
      </c>
      <c r="F20" s="24">
        <f>+(E20*100)/D20</f>
        <v>100</v>
      </c>
      <c r="G20" s="4">
        <v>0</v>
      </c>
      <c r="H20" s="4">
        <f>SUM(J20:R20)</f>
        <v>9</v>
      </c>
      <c r="I20" s="24" t="e">
        <f>+(H20*100)/G20</f>
        <v>#DIV/0!</v>
      </c>
      <c r="J20" s="81">
        <v>0</v>
      </c>
      <c r="K20" s="81">
        <v>9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</row>
    <row r="21" spans="1:20" s="44" customFormat="1" hidden="1" x14ac:dyDescent="0.5">
      <c r="A21" s="76"/>
      <c r="B21" s="79"/>
      <c r="C21" s="80" t="s">
        <v>34</v>
      </c>
      <c r="D21" s="81">
        <f t="shared" ref="D21:D24" si="13">+G21+H21</f>
        <v>207</v>
      </c>
      <c r="E21" s="4">
        <v>12</v>
      </c>
      <c r="F21" s="24">
        <f t="shared" ref="F21:F25" si="14">+(E21*100)/D21</f>
        <v>5.7971014492753623</v>
      </c>
      <c r="G21" s="4">
        <v>195</v>
      </c>
      <c r="H21" s="4">
        <f t="shared" ref="H21:H24" si="15">SUM(J21:R21)</f>
        <v>12</v>
      </c>
      <c r="I21" s="24">
        <f t="shared" ref="I21:I24" si="16">+(H21*100)/G21</f>
        <v>6.1538461538461542</v>
      </c>
      <c r="J21" s="81">
        <v>0</v>
      </c>
      <c r="K21" s="81">
        <v>2</v>
      </c>
      <c r="L21" s="81">
        <v>0</v>
      </c>
      <c r="M21" s="81">
        <v>10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</row>
    <row r="22" spans="1:20" s="44" customFormat="1" hidden="1" x14ac:dyDescent="0.5">
      <c r="A22" s="76"/>
      <c r="B22" s="79"/>
      <c r="C22" s="80" t="s">
        <v>35</v>
      </c>
      <c r="D22" s="81">
        <f t="shared" si="13"/>
        <v>264</v>
      </c>
      <c r="E22" s="4">
        <v>19</v>
      </c>
      <c r="F22" s="24">
        <f t="shared" si="14"/>
        <v>7.1969696969696972</v>
      </c>
      <c r="G22" s="4">
        <v>245</v>
      </c>
      <c r="H22" s="4">
        <f t="shared" si="15"/>
        <v>19</v>
      </c>
      <c r="I22" s="24">
        <f t="shared" si="16"/>
        <v>7.7551020408163263</v>
      </c>
      <c r="J22" s="81">
        <v>0</v>
      </c>
      <c r="K22" s="81">
        <v>1</v>
      </c>
      <c r="L22" s="81">
        <v>0</v>
      </c>
      <c r="M22" s="81">
        <v>18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  <c r="S22" s="81">
        <v>0</v>
      </c>
      <c r="T22" s="81">
        <v>0</v>
      </c>
    </row>
    <row r="23" spans="1:20" s="44" customFormat="1" hidden="1" x14ac:dyDescent="0.5">
      <c r="A23" s="76"/>
      <c r="B23" s="79"/>
      <c r="C23" s="80" t="s">
        <v>36</v>
      </c>
      <c r="D23" s="81">
        <f t="shared" si="13"/>
        <v>109</v>
      </c>
      <c r="E23" s="4">
        <v>14</v>
      </c>
      <c r="F23" s="24">
        <f t="shared" si="14"/>
        <v>12.844036697247706</v>
      </c>
      <c r="G23" s="4">
        <v>95</v>
      </c>
      <c r="H23" s="4">
        <f t="shared" si="15"/>
        <v>14</v>
      </c>
      <c r="I23" s="24">
        <f t="shared" si="16"/>
        <v>14.736842105263158</v>
      </c>
      <c r="J23" s="81">
        <v>0</v>
      </c>
      <c r="K23" s="81">
        <v>1</v>
      </c>
      <c r="L23" s="81">
        <v>0</v>
      </c>
      <c r="M23" s="81">
        <v>13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</row>
    <row r="24" spans="1:20" s="44" customFormat="1" hidden="1" x14ac:dyDescent="0.5">
      <c r="A24" s="76"/>
      <c r="B24" s="79"/>
      <c r="C24" s="80" t="s">
        <v>37</v>
      </c>
      <c r="D24" s="81">
        <f t="shared" si="13"/>
        <v>34</v>
      </c>
      <c r="E24" s="4">
        <v>4</v>
      </c>
      <c r="F24" s="24">
        <f t="shared" si="14"/>
        <v>11.764705882352942</v>
      </c>
      <c r="G24" s="4">
        <v>30</v>
      </c>
      <c r="H24" s="4">
        <f t="shared" si="15"/>
        <v>4</v>
      </c>
      <c r="I24" s="24">
        <f t="shared" si="16"/>
        <v>13.333333333333334</v>
      </c>
      <c r="J24" s="81">
        <v>0</v>
      </c>
      <c r="K24" s="81">
        <v>0</v>
      </c>
      <c r="L24" s="81">
        <v>0</v>
      </c>
      <c r="M24" s="81">
        <v>1</v>
      </c>
      <c r="N24" s="81">
        <v>0</v>
      </c>
      <c r="O24" s="81">
        <v>0</v>
      </c>
      <c r="P24" s="81">
        <v>0</v>
      </c>
      <c r="Q24" s="81">
        <v>0</v>
      </c>
      <c r="R24" s="81">
        <v>3</v>
      </c>
      <c r="S24" s="81">
        <v>0</v>
      </c>
      <c r="T24" s="81">
        <v>0</v>
      </c>
    </row>
    <row r="25" spans="1:20" s="44" customFormat="1" hidden="1" x14ac:dyDescent="0.5">
      <c r="A25" s="76"/>
      <c r="B25" s="82" t="s">
        <v>29</v>
      </c>
      <c r="C25" s="83"/>
      <c r="D25" s="77">
        <f>SUM(D26:D30)</f>
        <v>2083</v>
      </c>
      <c r="E25" s="77">
        <v>211</v>
      </c>
      <c r="F25" s="78">
        <f t="shared" si="14"/>
        <v>10.129620739318291</v>
      </c>
      <c r="G25" s="77">
        <f>SUM(G26:G30)</f>
        <v>1872</v>
      </c>
      <c r="H25" s="77">
        <f t="shared" ref="H25:T25" si="17">SUM(H26:H30)</f>
        <v>211</v>
      </c>
      <c r="I25" s="78">
        <f t="shared" si="17"/>
        <v>415.42794431205317</v>
      </c>
      <c r="J25" s="77">
        <f t="shared" si="17"/>
        <v>0</v>
      </c>
      <c r="K25" s="77">
        <f t="shared" si="17"/>
        <v>37</v>
      </c>
      <c r="L25" s="77">
        <f t="shared" si="17"/>
        <v>0</v>
      </c>
      <c r="M25" s="77">
        <f t="shared" si="17"/>
        <v>167</v>
      </c>
      <c r="N25" s="77">
        <f t="shared" si="17"/>
        <v>0</v>
      </c>
      <c r="O25" s="77">
        <f t="shared" si="17"/>
        <v>2</v>
      </c>
      <c r="P25" s="77">
        <f t="shared" si="17"/>
        <v>0</v>
      </c>
      <c r="Q25" s="77">
        <f t="shared" si="17"/>
        <v>0</v>
      </c>
      <c r="R25" s="77">
        <f t="shared" si="17"/>
        <v>5</v>
      </c>
      <c r="S25" s="77">
        <f t="shared" si="17"/>
        <v>0</v>
      </c>
      <c r="T25" s="77">
        <f t="shared" si="17"/>
        <v>0</v>
      </c>
    </row>
    <row r="26" spans="1:20" s="44" customFormat="1" hidden="1" x14ac:dyDescent="0.5">
      <c r="A26" s="76"/>
      <c r="B26" s="79"/>
      <c r="C26" s="80" t="s">
        <v>33</v>
      </c>
      <c r="D26" s="81">
        <f>+G26+H26</f>
        <v>23</v>
      </c>
      <c r="E26" s="4">
        <v>18</v>
      </c>
      <c r="F26" s="24">
        <f>+(E26*100)/D26</f>
        <v>78.260869565217391</v>
      </c>
      <c r="G26" s="81">
        <v>5</v>
      </c>
      <c r="H26" s="4">
        <f>SUM(J26:R26)</f>
        <v>18</v>
      </c>
      <c r="I26" s="24">
        <f>+(H26*100)/G26</f>
        <v>360</v>
      </c>
      <c r="J26" s="81">
        <v>0</v>
      </c>
      <c r="K26" s="81">
        <v>17</v>
      </c>
      <c r="L26" s="81">
        <v>0</v>
      </c>
      <c r="M26" s="81">
        <v>1</v>
      </c>
      <c r="N26" s="81">
        <v>0</v>
      </c>
      <c r="O26" s="81">
        <v>0</v>
      </c>
      <c r="P26" s="81">
        <v>0</v>
      </c>
      <c r="Q26" s="81">
        <v>0</v>
      </c>
      <c r="R26" s="81">
        <v>0</v>
      </c>
      <c r="S26" s="81">
        <v>0</v>
      </c>
      <c r="T26" s="81">
        <v>0</v>
      </c>
    </row>
    <row r="27" spans="1:20" s="44" customFormat="1" hidden="1" x14ac:dyDescent="0.5">
      <c r="A27" s="76"/>
      <c r="B27" s="79"/>
      <c r="C27" s="80" t="s">
        <v>34</v>
      </c>
      <c r="D27" s="81">
        <f t="shared" ref="D27:D30" si="18">+G27+H27</f>
        <v>872</v>
      </c>
      <c r="E27" s="4">
        <v>72</v>
      </c>
      <c r="F27" s="24">
        <f t="shared" ref="F27:F31" si="19">+(E27*100)/D27</f>
        <v>8.2568807339449535</v>
      </c>
      <c r="G27" s="81">
        <v>800</v>
      </c>
      <c r="H27" s="4">
        <f t="shared" ref="H27:H30" si="20">SUM(J27:R27)</f>
        <v>72</v>
      </c>
      <c r="I27" s="24">
        <f t="shared" ref="I27:I30" si="21">+(H27*100)/G27</f>
        <v>9</v>
      </c>
      <c r="J27" s="81">
        <v>0</v>
      </c>
      <c r="K27" s="81">
        <v>19</v>
      </c>
      <c r="L27" s="81">
        <v>0</v>
      </c>
      <c r="M27" s="81">
        <v>51</v>
      </c>
      <c r="N27" s="81">
        <v>0</v>
      </c>
      <c r="O27" s="81">
        <v>2</v>
      </c>
      <c r="P27" s="81">
        <v>0</v>
      </c>
      <c r="Q27" s="81">
        <v>0</v>
      </c>
      <c r="R27" s="81">
        <v>0</v>
      </c>
      <c r="S27" s="81">
        <v>0</v>
      </c>
      <c r="T27" s="81">
        <v>0</v>
      </c>
    </row>
    <row r="28" spans="1:20" s="44" customFormat="1" hidden="1" x14ac:dyDescent="0.5">
      <c r="A28" s="76"/>
      <c r="B28" s="79"/>
      <c r="C28" s="80" t="s">
        <v>35</v>
      </c>
      <c r="D28" s="81">
        <f t="shared" si="18"/>
        <v>774</v>
      </c>
      <c r="E28" s="4">
        <v>60</v>
      </c>
      <c r="F28" s="24">
        <f t="shared" si="19"/>
        <v>7.7519379844961236</v>
      </c>
      <c r="G28" s="81">
        <v>714</v>
      </c>
      <c r="H28" s="4">
        <f t="shared" si="20"/>
        <v>60</v>
      </c>
      <c r="I28" s="24">
        <f t="shared" si="21"/>
        <v>8.4033613445378155</v>
      </c>
      <c r="J28" s="81">
        <v>0</v>
      </c>
      <c r="K28" s="81">
        <v>0</v>
      </c>
      <c r="L28" s="81">
        <v>0</v>
      </c>
      <c r="M28" s="81">
        <v>60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81">
        <v>0</v>
      </c>
      <c r="T28" s="81">
        <v>0</v>
      </c>
    </row>
    <row r="29" spans="1:20" s="44" customFormat="1" hidden="1" x14ac:dyDescent="0.5">
      <c r="A29" s="76"/>
      <c r="B29" s="79"/>
      <c r="C29" s="80" t="s">
        <v>36</v>
      </c>
      <c r="D29" s="81">
        <f t="shared" si="18"/>
        <v>310</v>
      </c>
      <c r="E29" s="4">
        <v>42</v>
      </c>
      <c r="F29" s="24">
        <f t="shared" si="19"/>
        <v>13.548387096774194</v>
      </c>
      <c r="G29" s="81">
        <v>268</v>
      </c>
      <c r="H29" s="4">
        <f t="shared" si="20"/>
        <v>42</v>
      </c>
      <c r="I29" s="24">
        <f t="shared" si="21"/>
        <v>15.671641791044776</v>
      </c>
      <c r="J29" s="81">
        <v>0</v>
      </c>
      <c r="K29" s="81">
        <v>1</v>
      </c>
      <c r="L29" s="81">
        <v>0</v>
      </c>
      <c r="M29" s="81">
        <v>41</v>
      </c>
      <c r="N29" s="81">
        <v>0</v>
      </c>
      <c r="O29" s="81">
        <v>0</v>
      </c>
      <c r="P29" s="81">
        <v>0</v>
      </c>
      <c r="Q29" s="81">
        <v>0</v>
      </c>
      <c r="R29" s="81">
        <v>0</v>
      </c>
      <c r="S29" s="81">
        <v>0</v>
      </c>
      <c r="T29" s="81">
        <v>0</v>
      </c>
    </row>
    <row r="30" spans="1:20" s="44" customFormat="1" hidden="1" x14ac:dyDescent="0.5">
      <c r="A30" s="76"/>
      <c r="B30" s="79"/>
      <c r="C30" s="80" t="s">
        <v>37</v>
      </c>
      <c r="D30" s="81">
        <f t="shared" si="18"/>
        <v>104</v>
      </c>
      <c r="E30" s="4">
        <v>19</v>
      </c>
      <c r="F30" s="24">
        <f t="shared" si="19"/>
        <v>18.26923076923077</v>
      </c>
      <c r="G30" s="81">
        <f>69+16</f>
        <v>85</v>
      </c>
      <c r="H30" s="4">
        <f t="shared" si="20"/>
        <v>19</v>
      </c>
      <c r="I30" s="24">
        <f t="shared" si="21"/>
        <v>22.352941176470587</v>
      </c>
      <c r="J30" s="81">
        <v>0</v>
      </c>
      <c r="K30" s="81">
        <v>0</v>
      </c>
      <c r="L30" s="81">
        <v>0</v>
      </c>
      <c r="M30" s="81">
        <f>12+2</f>
        <v>14</v>
      </c>
      <c r="N30" s="81">
        <v>0</v>
      </c>
      <c r="O30" s="81">
        <v>0</v>
      </c>
      <c r="P30" s="81">
        <v>0</v>
      </c>
      <c r="Q30" s="81">
        <v>0</v>
      </c>
      <c r="R30" s="81">
        <v>5</v>
      </c>
      <c r="S30" s="81">
        <v>0</v>
      </c>
      <c r="T30" s="81">
        <v>0</v>
      </c>
    </row>
    <row r="31" spans="1:20" s="44" customFormat="1" hidden="1" x14ac:dyDescent="0.5">
      <c r="A31" s="76"/>
      <c r="B31" s="22" t="s">
        <v>30</v>
      </c>
      <c r="C31" s="80"/>
      <c r="D31" s="77">
        <f>SUM(D32:D36)</f>
        <v>741</v>
      </c>
      <c r="E31" s="77">
        <v>39</v>
      </c>
      <c r="F31" s="78">
        <f t="shared" si="19"/>
        <v>5.2631578947368425</v>
      </c>
      <c r="G31" s="77">
        <f>SUM(G32:G36)</f>
        <v>702</v>
      </c>
      <c r="H31" s="77">
        <f t="shared" ref="H31:T31" si="22">SUM(H32:H36)</f>
        <v>39</v>
      </c>
      <c r="I31" s="78">
        <f t="shared" si="22"/>
        <v>39.595407617186204</v>
      </c>
      <c r="J31" s="77">
        <f t="shared" si="22"/>
        <v>0</v>
      </c>
      <c r="K31" s="77">
        <f t="shared" si="22"/>
        <v>0</v>
      </c>
      <c r="L31" s="77">
        <f t="shared" si="22"/>
        <v>0</v>
      </c>
      <c r="M31" s="77">
        <f t="shared" si="22"/>
        <v>39</v>
      </c>
      <c r="N31" s="77">
        <f t="shared" si="22"/>
        <v>0</v>
      </c>
      <c r="O31" s="77">
        <f t="shared" si="22"/>
        <v>0</v>
      </c>
      <c r="P31" s="77">
        <f t="shared" si="22"/>
        <v>0</v>
      </c>
      <c r="Q31" s="77">
        <f t="shared" si="22"/>
        <v>0</v>
      </c>
      <c r="R31" s="77">
        <f t="shared" si="22"/>
        <v>0</v>
      </c>
      <c r="S31" s="77">
        <f t="shared" si="22"/>
        <v>0</v>
      </c>
      <c r="T31" s="77">
        <f t="shared" si="22"/>
        <v>0</v>
      </c>
    </row>
    <row r="32" spans="1:20" s="44" customFormat="1" hidden="1" x14ac:dyDescent="0.5">
      <c r="A32" s="76"/>
      <c r="B32" s="79"/>
      <c r="C32" s="80" t="s">
        <v>33</v>
      </c>
      <c r="D32" s="81">
        <f>+G32+H32</f>
        <v>168</v>
      </c>
      <c r="E32" s="4">
        <v>3</v>
      </c>
      <c r="F32" s="24">
        <f>+(E32*100)/D32</f>
        <v>1.7857142857142858</v>
      </c>
      <c r="G32" s="81">
        <v>165</v>
      </c>
      <c r="H32" s="4">
        <f>SUM(J32:R32)</f>
        <v>3</v>
      </c>
      <c r="I32" s="24">
        <f>+(H32*100)/G32</f>
        <v>1.8181818181818181</v>
      </c>
      <c r="J32" s="81">
        <v>0</v>
      </c>
      <c r="K32" s="81">
        <v>0</v>
      </c>
      <c r="L32" s="81">
        <v>0</v>
      </c>
      <c r="M32" s="81">
        <v>3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  <c r="S32" s="81">
        <v>0</v>
      </c>
      <c r="T32" s="81">
        <v>0</v>
      </c>
    </row>
    <row r="33" spans="1:20" s="44" customFormat="1" hidden="1" x14ac:dyDescent="0.5">
      <c r="A33" s="76"/>
      <c r="B33" s="79"/>
      <c r="C33" s="80" t="s">
        <v>34</v>
      </c>
      <c r="D33" s="81">
        <f t="shared" ref="D33:D36" si="23">+G33+H33</f>
        <v>211</v>
      </c>
      <c r="E33" s="4">
        <v>8</v>
      </c>
      <c r="F33" s="24">
        <f t="shared" ref="F33:F37" si="24">+(E33*100)/D33</f>
        <v>3.7914691943127963</v>
      </c>
      <c r="G33" s="81">
        <v>203</v>
      </c>
      <c r="H33" s="4">
        <f t="shared" ref="H33:H36" si="25">SUM(J33:R33)</f>
        <v>8</v>
      </c>
      <c r="I33" s="24">
        <f t="shared" ref="I33:I36" si="26">+(H33*100)/G33</f>
        <v>3.9408866995073892</v>
      </c>
      <c r="J33" s="81">
        <v>0</v>
      </c>
      <c r="K33" s="81">
        <v>0</v>
      </c>
      <c r="L33" s="81">
        <v>0</v>
      </c>
      <c r="M33" s="81">
        <v>8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>
        <v>0</v>
      </c>
    </row>
    <row r="34" spans="1:20" s="44" customFormat="1" hidden="1" x14ac:dyDescent="0.5">
      <c r="A34" s="76"/>
      <c r="B34" s="79"/>
      <c r="C34" s="80" t="s">
        <v>35</v>
      </c>
      <c r="D34" s="81">
        <f t="shared" si="23"/>
        <v>205</v>
      </c>
      <c r="E34" s="4">
        <v>10</v>
      </c>
      <c r="F34" s="24">
        <f t="shared" si="24"/>
        <v>4.8780487804878048</v>
      </c>
      <c r="G34" s="81">
        <v>195</v>
      </c>
      <c r="H34" s="4">
        <f t="shared" si="25"/>
        <v>10</v>
      </c>
      <c r="I34" s="24">
        <f t="shared" si="26"/>
        <v>5.1282051282051286</v>
      </c>
      <c r="J34" s="81">
        <v>0</v>
      </c>
      <c r="K34" s="81">
        <v>0</v>
      </c>
      <c r="L34" s="81">
        <v>0</v>
      </c>
      <c r="M34" s="81">
        <v>10</v>
      </c>
      <c r="N34" s="81">
        <v>0</v>
      </c>
      <c r="O34" s="81">
        <v>0</v>
      </c>
      <c r="P34" s="81">
        <v>0</v>
      </c>
      <c r="Q34" s="81">
        <v>0</v>
      </c>
      <c r="R34" s="81">
        <v>0</v>
      </c>
      <c r="S34" s="81">
        <v>0</v>
      </c>
      <c r="T34" s="81">
        <v>0</v>
      </c>
    </row>
    <row r="35" spans="1:20" s="44" customFormat="1" hidden="1" x14ac:dyDescent="0.5">
      <c r="A35" s="76"/>
      <c r="B35" s="79"/>
      <c r="C35" s="80" t="s">
        <v>36</v>
      </c>
      <c r="D35" s="81">
        <f t="shared" si="23"/>
        <v>105</v>
      </c>
      <c r="E35" s="4">
        <v>10</v>
      </c>
      <c r="F35" s="24">
        <f t="shared" si="24"/>
        <v>9.5238095238095237</v>
      </c>
      <c r="G35" s="81">
        <v>95</v>
      </c>
      <c r="H35" s="4">
        <f t="shared" si="25"/>
        <v>10</v>
      </c>
      <c r="I35" s="24">
        <f t="shared" si="26"/>
        <v>10.526315789473685</v>
      </c>
      <c r="J35" s="81">
        <v>0</v>
      </c>
      <c r="K35" s="81">
        <v>0</v>
      </c>
      <c r="L35" s="81">
        <v>0</v>
      </c>
      <c r="M35" s="81">
        <v>10</v>
      </c>
      <c r="N35" s="81">
        <v>0</v>
      </c>
      <c r="O35" s="81">
        <v>0</v>
      </c>
      <c r="P35" s="81">
        <v>0</v>
      </c>
      <c r="Q35" s="81">
        <v>0</v>
      </c>
      <c r="R35" s="81">
        <v>0</v>
      </c>
      <c r="S35" s="81">
        <v>0</v>
      </c>
      <c r="T35" s="81">
        <v>0</v>
      </c>
    </row>
    <row r="36" spans="1:20" s="44" customFormat="1" hidden="1" x14ac:dyDescent="0.5">
      <c r="A36" s="76"/>
      <c r="B36" s="79"/>
      <c r="C36" s="80" t="s">
        <v>37</v>
      </c>
      <c r="D36" s="81">
        <f t="shared" si="23"/>
        <v>52</v>
      </c>
      <c r="E36" s="4">
        <v>8</v>
      </c>
      <c r="F36" s="24">
        <f t="shared" si="24"/>
        <v>15.384615384615385</v>
      </c>
      <c r="G36" s="81">
        <f>27+17</f>
        <v>44</v>
      </c>
      <c r="H36" s="4">
        <f t="shared" si="25"/>
        <v>8</v>
      </c>
      <c r="I36" s="24">
        <f t="shared" si="26"/>
        <v>18.181818181818183</v>
      </c>
      <c r="J36" s="81">
        <v>0</v>
      </c>
      <c r="K36" s="81">
        <v>0</v>
      </c>
      <c r="L36" s="81">
        <v>0</v>
      </c>
      <c r="M36" s="81">
        <f>3+5</f>
        <v>8</v>
      </c>
      <c r="N36" s="81">
        <v>0</v>
      </c>
      <c r="O36" s="81">
        <v>0</v>
      </c>
      <c r="P36" s="81">
        <v>0</v>
      </c>
      <c r="Q36" s="81">
        <v>0</v>
      </c>
      <c r="R36" s="81">
        <v>0</v>
      </c>
      <c r="S36" s="81">
        <v>0</v>
      </c>
      <c r="T36" s="81">
        <v>0</v>
      </c>
    </row>
    <row r="37" spans="1:20" s="44" customFormat="1" hidden="1" x14ac:dyDescent="0.5">
      <c r="A37" s="84"/>
      <c r="B37" s="85" t="s">
        <v>31</v>
      </c>
      <c r="C37" s="86"/>
      <c r="D37" s="77">
        <f>SUM(D38:D42)</f>
        <v>18</v>
      </c>
      <c r="E37" s="77">
        <v>1</v>
      </c>
      <c r="F37" s="78">
        <f t="shared" si="24"/>
        <v>5.5555555555555554</v>
      </c>
      <c r="G37" s="77">
        <f>SUM(G38:G42)</f>
        <v>17</v>
      </c>
      <c r="H37" s="77">
        <f t="shared" ref="H37:T37" si="27">SUM(H38:H42)</f>
        <v>1</v>
      </c>
      <c r="I37" s="78" t="e">
        <f t="shared" si="27"/>
        <v>#DIV/0!</v>
      </c>
      <c r="J37" s="77">
        <f t="shared" si="27"/>
        <v>0</v>
      </c>
      <c r="K37" s="77">
        <f t="shared" si="27"/>
        <v>0</v>
      </c>
      <c r="L37" s="77">
        <f t="shared" si="27"/>
        <v>0</v>
      </c>
      <c r="M37" s="77">
        <f t="shared" si="27"/>
        <v>1</v>
      </c>
      <c r="N37" s="77">
        <f t="shared" si="27"/>
        <v>0</v>
      </c>
      <c r="O37" s="77">
        <f t="shared" si="27"/>
        <v>0</v>
      </c>
      <c r="P37" s="77">
        <f t="shared" si="27"/>
        <v>0</v>
      </c>
      <c r="Q37" s="77">
        <f t="shared" si="27"/>
        <v>0</v>
      </c>
      <c r="R37" s="77">
        <f t="shared" si="27"/>
        <v>0</v>
      </c>
      <c r="S37" s="77">
        <f t="shared" si="27"/>
        <v>0</v>
      </c>
      <c r="T37" s="77">
        <f t="shared" si="27"/>
        <v>0</v>
      </c>
    </row>
    <row r="38" spans="1:20" s="44" customFormat="1" hidden="1" x14ac:dyDescent="0.5">
      <c r="A38" s="76"/>
      <c r="B38" s="79"/>
      <c r="C38" s="80" t="s">
        <v>33</v>
      </c>
      <c r="D38" s="81">
        <f>+G38+H38</f>
        <v>0</v>
      </c>
      <c r="E38" s="4">
        <v>0</v>
      </c>
      <c r="F38" s="24" t="e">
        <f>+(E38*100)/D38</f>
        <v>#DIV/0!</v>
      </c>
      <c r="G38" s="81">
        <v>0</v>
      </c>
      <c r="H38" s="4">
        <v>0</v>
      </c>
      <c r="I38" s="24" t="e">
        <f>+(H38*100)/G38</f>
        <v>#DIV/0!</v>
      </c>
      <c r="J38" s="81">
        <v>0</v>
      </c>
      <c r="K38" s="81">
        <v>0</v>
      </c>
      <c r="L38" s="81">
        <v>0</v>
      </c>
      <c r="M38" s="81">
        <v>0</v>
      </c>
      <c r="N38" s="81">
        <v>0</v>
      </c>
      <c r="O38" s="81">
        <v>0</v>
      </c>
      <c r="P38" s="81">
        <v>0</v>
      </c>
      <c r="Q38" s="81">
        <v>0</v>
      </c>
      <c r="R38" s="81">
        <v>0</v>
      </c>
      <c r="S38" s="81">
        <v>0</v>
      </c>
      <c r="T38" s="81">
        <v>0</v>
      </c>
    </row>
    <row r="39" spans="1:20" s="44" customFormat="1" hidden="1" x14ac:dyDescent="0.5">
      <c r="A39" s="76"/>
      <c r="B39" s="79"/>
      <c r="C39" s="80" t="s">
        <v>34</v>
      </c>
      <c r="D39" s="81">
        <f t="shared" ref="D39:D42" si="28">+G39+H39</f>
        <v>5</v>
      </c>
      <c r="E39" s="4">
        <v>0</v>
      </c>
      <c r="F39" s="24">
        <f t="shared" ref="F39:F55" si="29">+(E39*100)/D39</f>
        <v>0</v>
      </c>
      <c r="G39" s="81">
        <v>5</v>
      </c>
      <c r="H39" s="4">
        <f t="shared" ref="H39:H48" si="30">SUM(J39:R39)</f>
        <v>0</v>
      </c>
      <c r="I39" s="24">
        <f t="shared" ref="I39:I55" si="31">+(H39*100)/G39</f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1">
        <v>0</v>
      </c>
      <c r="P39" s="81">
        <v>0</v>
      </c>
      <c r="Q39" s="81">
        <v>0</v>
      </c>
      <c r="R39" s="81">
        <v>0</v>
      </c>
      <c r="S39" s="81">
        <v>0</v>
      </c>
      <c r="T39" s="81">
        <v>0</v>
      </c>
    </row>
    <row r="40" spans="1:20" s="44" customFormat="1" hidden="1" x14ac:dyDescent="0.5">
      <c r="A40" s="76"/>
      <c r="B40" s="79"/>
      <c r="C40" s="80" t="s">
        <v>35</v>
      </c>
      <c r="D40" s="81">
        <f t="shared" si="28"/>
        <v>7</v>
      </c>
      <c r="E40" s="4">
        <v>1</v>
      </c>
      <c r="F40" s="24">
        <f t="shared" si="29"/>
        <v>14.285714285714286</v>
      </c>
      <c r="G40" s="81">
        <v>6</v>
      </c>
      <c r="H40" s="4">
        <f t="shared" si="30"/>
        <v>1</v>
      </c>
      <c r="I40" s="24">
        <f t="shared" si="31"/>
        <v>16.666666666666668</v>
      </c>
      <c r="J40" s="81">
        <v>0</v>
      </c>
      <c r="K40" s="81">
        <v>0</v>
      </c>
      <c r="L40" s="81">
        <v>0</v>
      </c>
      <c r="M40" s="81">
        <v>1</v>
      </c>
      <c r="N40" s="81">
        <v>0</v>
      </c>
      <c r="O40" s="81">
        <v>0</v>
      </c>
      <c r="P40" s="81">
        <v>0</v>
      </c>
      <c r="Q40" s="81">
        <v>0</v>
      </c>
      <c r="R40" s="81">
        <v>0</v>
      </c>
      <c r="S40" s="81">
        <v>0</v>
      </c>
      <c r="T40" s="81">
        <v>0</v>
      </c>
    </row>
    <row r="41" spans="1:20" s="44" customFormat="1" hidden="1" x14ac:dyDescent="0.5">
      <c r="A41" s="76"/>
      <c r="B41" s="79"/>
      <c r="C41" s="80" t="s">
        <v>36</v>
      </c>
      <c r="D41" s="81">
        <f t="shared" si="28"/>
        <v>3</v>
      </c>
      <c r="E41" s="4">
        <v>0</v>
      </c>
      <c r="F41" s="24">
        <f t="shared" si="29"/>
        <v>0</v>
      </c>
      <c r="G41" s="81">
        <v>3</v>
      </c>
      <c r="H41" s="4">
        <f t="shared" si="30"/>
        <v>0</v>
      </c>
      <c r="I41" s="24">
        <f t="shared" si="31"/>
        <v>0</v>
      </c>
      <c r="J41" s="81">
        <v>0</v>
      </c>
      <c r="K41" s="81">
        <v>0</v>
      </c>
      <c r="L41" s="81">
        <v>0</v>
      </c>
      <c r="M41" s="81">
        <v>0</v>
      </c>
      <c r="N41" s="81">
        <v>0</v>
      </c>
      <c r="O41" s="81">
        <v>0</v>
      </c>
      <c r="P41" s="81">
        <v>0</v>
      </c>
      <c r="Q41" s="81">
        <v>0</v>
      </c>
      <c r="R41" s="81">
        <v>0</v>
      </c>
      <c r="S41" s="81">
        <v>0</v>
      </c>
      <c r="T41" s="81">
        <v>0</v>
      </c>
    </row>
    <row r="42" spans="1:20" s="44" customFormat="1" hidden="1" x14ac:dyDescent="0.5">
      <c r="A42" s="76"/>
      <c r="B42" s="79"/>
      <c r="C42" s="80" t="s">
        <v>37</v>
      </c>
      <c r="D42" s="81">
        <f t="shared" si="28"/>
        <v>3</v>
      </c>
      <c r="E42" s="4">
        <v>0</v>
      </c>
      <c r="F42" s="24">
        <f t="shared" si="29"/>
        <v>0</v>
      </c>
      <c r="G42" s="81">
        <v>3</v>
      </c>
      <c r="H42" s="4">
        <f t="shared" si="30"/>
        <v>0</v>
      </c>
      <c r="I42" s="24">
        <f t="shared" si="31"/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81">
        <v>0</v>
      </c>
      <c r="Q42" s="81">
        <v>0</v>
      </c>
      <c r="R42" s="81">
        <v>0</v>
      </c>
      <c r="S42" s="81">
        <v>0</v>
      </c>
      <c r="T42" s="81">
        <v>0</v>
      </c>
    </row>
    <row r="43" spans="1:20" s="45" customFormat="1" x14ac:dyDescent="0.5">
      <c r="A43" s="21"/>
      <c r="B43" s="22" t="s">
        <v>26</v>
      </c>
      <c r="C43" s="22"/>
      <c r="D43" s="4">
        <f>+D7</f>
        <v>28241</v>
      </c>
      <c r="E43" s="4">
        <v>2186</v>
      </c>
      <c r="F43" s="24">
        <f t="shared" si="29"/>
        <v>7.7405191034311818</v>
      </c>
      <c r="G43" s="4">
        <f>+G7</f>
        <v>26055</v>
      </c>
      <c r="H43" s="4">
        <f t="shared" si="30"/>
        <v>2186</v>
      </c>
      <c r="I43" s="24">
        <f t="shared" si="31"/>
        <v>8.3899443484935716</v>
      </c>
      <c r="J43" s="4">
        <f t="shared" ref="J43:T43" si="32">+J7</f>
        <v>0</v>
      </c>
      <c r="K43" s="4">
        <f t="shared" si="32"/>
        <v>0</v>
      </c>
      <c r="L43" s="4">
        <f t="shared" si="32"/>
        <v>538</v>
      </c>
      <c r="M43" s="4">
        <f t="shared" si="32"/>
        <v>1511</v>
      </c>
      <c r="N43" s="4">
        <f t="shared" si="32"/>
        <v>43</v>
      </c>
      <c r="O43" s="4">
        <f t="shared" si="32"/>
        <v>43</v>
      </c>
      <c r="P43" s="4">
        <f t="shared" si="32"/>
        <v>48</v>
      </c>
      <c r="Q43" s="4">
        <f t="shared" si="32"/>
        <v>3</v>
      </c>
      <c r="R43" s="4">
        <f t="shared" si="32"/>
        <v>0</v>
      </c>
      <c r="S43" s="4">
        <f t="shared" si="32"/>
        <v>0</v>
      </c>
      <c r="T43" s="4">
        <f t="shared" si="32"/>
        <v>0</v>
      </c>
    </row>
    <row r="44" spans="1:20" s="45" customFormat="1" x14ac:dyDescent="0.5">
      <c r="A44" s="21"/>
      <c r="B44" s="22" t="s">
        <v>27</v>
      </c>
      <c r="C44" s="22"/>
      <c r="D44" s="4">
        <f>+D13</f>
        <v>7357</v>
      </c>
      <c r="E44" s="4">
        <v>438</v>
      </c>
      <c r="F44" s="24">
        <f t="shared" si="29"/>
        <v>5.9535136604594268</v>
      </c>
      <c r="G44" s="4">
        <f>+G13</f>
        <v>6919</v>
      </c>
      <c r="H44" s="4">
        <f t="shared" si="30"/>
        <v>438</v>
      </c>
      <c r="I44" s="24">
        <f t="shared" si="31"/>
        <v>6.3303945656886835</v>
      </c>
      <c r="J44" s="4">
        <f t="shared" ref="J44:T44" si="33">+J13</f>
        <v>0</v>
      </c>
      <c r="K44" s="4">
        <f t="shared" si="33"/>
        <v>0</v>
      </c>
      <c r="L44" s="4">
        <f t="shared" si="33"/>
        <v>292</v>
      </c>
      <c r="M44" s="4">
        <f t="shared" si="33"/>
        <v>100</v>
      </c>
      <c r="N44" s="4">
        <f t="shared" si="33"/>
        <v>22</v>
      </c>
      <c r="O44" s="4">
        <f t="shared" si="33"/>
        <v>11</v>
      </c>
      <c r="P44" s="4">
        <f t="shared" si="33"/>
        <v>13</v>
      </c>
      <c r="Q44" s="4">
        <f t="shared" si="33"/>
        <v>0</v>
      </c>
      <c r="R44" s="4">
        <f t="shared" si="33"/>
        <v>0</v>
      </c>
      <c r="S44" s="4">
        <f t="shared" si="33"/>
        <v>0</v>
      </c>
      <c r="T44" s="4">
        <f t="shared" si="33"/>
        <v>0</v>
      </c>
    </row>
    <row r="45" spans="1:20" s="45" customFormat="1" x14ac:dyDescent="0.5">
      <c r="A45" s="21"/>
      <c r="B45" s="22" t="s">
        <v>28</v>
      </c>
      <c r="C45" s="22"/>
      <c r="D45" s="4">
        <f>+D19</f>
        <v>623</v>
      </c>
      <c r="E45" s="4">
        <v>58</v>
      </c>
      <c r="F45" s="24">
        <f t="shared" si="29"/>
        <v>9.3097913322632415</v>
      </c>
      <c r="G45" s="4">
        <f>+G19</f>
        <v>565</v>
      </c>
      <c r="H45" s="4">
        <f t="shared" si="30"/>
        <v>58</v>
      </c>
      <c r="I45" s="24">
        <f t="shared" si="31"/>
        <v>10.265486725663717</v>
      </c>
      <c r="J45" s="4">
        <f t="shared" ref="J45:T45" si="34">+J19</f>
        <v>0</v>
      </c>
      <c r="K45" s="4">
        <f t="shared" si="34"/>
        <v>13</v>
      </c>
      <c r="L45" s="4">
        <f t="shared" si="34"/>
        <v>0</v>
      </c>
      <c r="M45" s="4">
        <f t="shared" si="34"/>
        <v>42</v>
      </c>
      <c r="N45" s="4">
        <f t="shared" si="34"/>
        <v>0</v>
      </c>
      <c r="O45" s="4">
        <f t="shared" si="34"/>
        <v>0</v>
      </c>
      <c r="P45" s="4">
        <f t="shared" si="34"/>
        <v>0</v>
      </c>
      <c r="Q45" s="4">
        <f t="shared" si="34"/>
        <v>0</v>
      </c>
      <c r="R45" s="4">
        <f t="shared" si="34"/>
        <v>3</v>
      </c>
      <c r="S45" s="4">
        <f t="shared" si="34"/>
        <v>0</v>
      </c>
      <c r="T45" s="4">
        <f t="shared" si="34"/>
        <v>0</v>
      </c>
    </row>
    <row r="46" spans="1:20" s="45" customFormat="1" x14ac:dyDescent="0.5">
      <c r="A46" s="21"/>
      <c r="B46" s="22" t="s">
        <v>29</v>
      </c>
      <c r="C46" s="22"/>
      <c r="D46" s="4">
        <f>+D25</f>
        <v>2083</v>
      </c>
      <c r="E46" s="4">
        <v>211</v>
      </c>
      <c r="F46" s="24">
        <f t="shared" si="29"/>
        <v>10.129620739318291</v>
      </c>
      <c r="G46" s="4">
        <f>+G25</f>
        <v>1872</v>
      </c>
      <c r="H46" s="4">
        <f t="shared" si="30"/>
        <v>211</v>
      </c>
      <c r="I46" s="24">
        <f t="shared" si="31"/>
        <v>11.271367521367521</v>
      </c>
      <c r="J46" s="4">
        <f t="shared" ref="J46:T46" si="35">+J25</f>
        <v>0</v>
      </c>
      <c r="K46" s="4">
        <f t="shared" si="35"/>
        <v>37</v>
      </c>
      <c r="L46" s="4">
        <f t="shared" si="35"/>
        <v>0</v>
      </c>
      <c r="M46" s="4">
        <f t="shared" si="35"/>
        <v>167</v>
      </c>
      <c r="N46" s="4">
        <f t="shared" si="35"/>
        <v>0</v>
      </c>
      <c r="O46" s="4">
        <f t="shared" si="35"/>
        <v>2</v>
      </c>
      <c r="P46" s="4">
        <f t="shared" si="35"/>
        <v>0</v>
      </c>
      <c r="Q46" s="4">
        <f t="shared" si="35"/>
        <v>0</v>
      </c>
      <c r="R46" s="4">
        <f t="shared" si="35"/>
        <v>5</v>
      </c>
      <c r="S46" s="4">
        <f t="shared" si="35"/>
        <v>0</v>
      </c>
      <c r="T46" s="4">
        <f t="shared" si="35"/>
        <v>0</v>
      </c>
    </row>
    <row r="47" spans="1:20" s="45" customFormat="1" x14ac:dyDescent="0.5">
      <c r="A47" s="21"/>
      <c r="B47" s="22" t="s">
        <v>30</v>
      </c>
      <c r="C47" s="22"/>
      <c r="D47" s="4">
        <f>+D31</f>
        <v>741</v>
      </c>
      <c r="E47" s="4">
        <v>39</v>
      </c>
      <c r="F47" s="24">
        <f t="shared" si="29"/>
        <v>5.2631578947368425</v>
      </c>
      <c r="G47" s="4">
        <f>+G31</f>
        <v>702</v>
      </c>
      <c r="H47" s="4">
        <f t="shared" si="30"/>
        <v>39</v>
      </c>
      <c r="I47" s="24">
        <f t="shared" si="31"/>
        <v>5.5555555555555554</v>
      </c>
      <c r="J47" s="4">
        <f t="shared" ref="J47:T47" si="36">+J31</f>
        <v>0</v>
      </c>
      <c r="K47" s="4">
        <f t="shared" si="36"/>
        <v>0</v>
      </c>
      <c r="L47" s="4">
        <f t="shared" si="36"/>
        <v>0</v>
      </c>
      <c r="M47" s="4">
        <f t="shared" si="36"/>
        <v>39</v>
      </c>
      <c r="N47" s="4">
        <f t="shared" si="36"/>
        <v>0</v>
      </c>
      <c r="O47" s="4">
        <f t="shared" si="36"/>
        <v>0</v>
      </c>
      <c r="P47" s="4">
        <f t="shared" si="36"/>
        <v>0</v>
      </c>
      <c r="Q47" s="4">
        <f t="shared" si="36"/>
        <v>0</v>
      </c>
      <c r="R47" s="4">
        <f t="shared" si="36"/>
        <v>0</v>
      </c>
      <c r="S47" s="4">
        <f t="shared" si="36"/>
        <v>0</v>
      </c>
      <c r="T47" s="4">
        <f t="shared" si="36"/>
        <v>0</v>
      </c>
    </row>
    <row r="48" spans="1:20" s="45" customFormat="1" x14ac:dyDescent="0.5">
      <c r="A48" s="25"/>
      <c r="B48" s="26" t="s">
        <v>31</v>
      </c>
      <c r="C48" s="26"/>
      <c r="D48" s="4">
        <f>+D37</f>
        <v>18</v>
      </c>
      <c r="E48" s="3">
        <v>1</v>
      </c>
      <c r="F48" s="28">
        <f t="shared" si="29"/>
        <v>5.5555555555555554</v>
      </c>
      <c r="G48" s="4">
        <f>+G37</f>
        <v>17</v>
      </c>
      <c r="H48" s="3">
        <f t="shared" si="30"/>
        <v>1</v>
      </c>
      <c r="I48" s="28">
        <f t="shared" si="31"/>
        <v>5.882352941176471</v>
      </c>
      <c r="J48" s="3">
        <f t="shared" ref="J48:T48" si="37">+J37</f>
        <v>0</v>
      </c>
      <c r="K48" s="3">
        <f t="shared" si="37"/>
        <v>0</v>
      </c>
      <c r="L48" s="3">
        <f t="shared" si="37"/>
        <v>0</v>
      </c>
      <c r="M48" s="3">
        <f t="shared" si="37"/>
        <v>1</v>
      </c>
      <c r="N48" s="3">
        <f t="shared" si="37"/>
        <v>0</v>
      </c>
      <c r="O48" s="3">
        <f t="shared" si="37"/>
        <v>0</v>
      </c>
      <c r="P48" s="3">
        <f t="shared" si="37"/>
        <v>0</v>
      </c>
      <c r="Q48" s="3">
        <f t="shared" si="37"/>
        <v>0</v>
      </c>
      <c r="R48" s="3">
        <f t="shared" si="37"/>
        <v>0</v>
      </c>
      <c r="S48" s="3">
        <f t="shared" si="37"/>
        <v>0</v>
      </c>
      <c r="T48" s="3">
        <f t="shared" si="37"/>
        <v>0</v>
      </c>
    </row>
    <row r="49" spans="1:20" s="79" customFormat="1" x14ac:dyDescent="0.5">
      <c r="A49" s="87"/>
      <c r="B49" s="87" t="s">
        <v>32</v>
      </c>
      <c r="C49" s="88"/>
      <c r="D49" s="89">
        <f>SUM(D43:D48)</f>
        <v>39063</v>
      </c>
      <c r="E49" s="89">
        <v>2933</v>
      </c>
      <c r="F49" s="90">
        <f t="shared" si="29"/>
        <v>7.5083838926861732</v>
      </c>
      <c r="G49" s="89">
        <f>SUM(G43:G48)</f>
        <v>36130</v>
      </c>
      <c r="H49" s="89">
        <f t="shared" ref="H49:T49" si="38">SUM(H43:H48)</f>
        <v>2933</v>
      </c>
      <c r="I49" s="90">
        <f t="shared" si="31"/>
        <v>8.1179075560476051</v>
      </c>
      <c r="J49" s="89">
        <f t="shared" si="38"/>
        <v>0</v>
      </c>
      <c r="K49" s="89">
        <f t="shared" si="38"/>
        <v>50</v>
      </c>
      <c r="L49" s="89">
        <f t="shared" si="38"/>
        <v>830</v>
      </c>
      <c r="M49" s="89">
        <f t="shared" si="38"/>
        <v>1860</v>
      </c>
      <c r="N49" s="89">
        <f t="shared" si="38"/>
        <v>65</v>
      </c>
      <c r="O49" s="89">
        <f t="shared" si="38"/>
        <v>56</v>
      </c>
      <c r="P49" s="89">
        <f t="shared" si="38"/>
        <v>61</v>
      </c>
      <c r="Q49" s="89">
        <f t="shared" si="38"/>
        <v>3</v>
      </c>
      <c r="R49" s="89">
        <f t="shared" si="38"/>
        <v>8</v>
      </c>
      <c r="S49" s="89">
        <f t="shared" si="38"/>
        <v>0</v>
      </c>
      <c r="T49" s="89">
        <f t="shared" si="38"/>
        <v>0</v>
      </c>
    </row>
    <row r="50" spans="1:20" s="45" customFormat="1" x14ac:dyDescent="0.5">
      <c r="A50" s="32"/>
      <c r="B50" s="91" t="s">
        <v>33</v>
      </c>
      <c r="C50" s="91"/>
      <c r="D50" s="35">
        <f>+D8+D14+D20+D26+D32+D38</f>
        <v>14045</v>
      </c>
      <c r="E50" s="35">
        <v>1795</v>
      </c>
      <c r="F50" s="36">
        <f t="shared" si="29"/>
        <v>12.780348878604485</v>
      </c>
      <c r="G50" s="35">
        <f>+G8+G14+G20+G26+G32+G38</f>
        <v>12250</v>
      </c>
      <c r="H50" s="35">
        <f t="shared" ref="H50:T50" si="39">+H8+H14+H20+H26+H32+H38</f>
        <v>1795</v>
      </c>
      <c r="I50" s="36">
        <f t="shared" si="31"/>
        <v>14.653061224489797</v>
      </c>
      <c r="J50" s="35">
        <f t="shared" si="39"/>
        <v>0</v>
      </c>
      <c r="K50" s="35">
        <f t="shared" si="39"/>
        <v>26</v>
      </c>
      <c r="L50" s="35">
        <f t="shared" si="39"/>
        <v>153</v>
      </c>
      <c r="M50" s="35">
        <f t="shared" si="39"/>
        <v>1614</v>
      </c>
      <c r="N50" s="35">
        <f t="shared" si="39"/>
        <v>1</v>
      </c>
      <c r="O50" s="35">
        <f t="shared" si="39"/>
        <v>1</v>
      </c>
      <c r="P50" s="35">
        <f t="shared" si="39"/>
        <v>0</v>
      </c>
      <c r="Q50" s="35">
        <f t="shared" si="39"/>
        <v>0</v>
      </c>
      <c r="R50" s="35">
        <f t="shared" si="39"/>
        <v>0</v>
      </c>
      <c r="S50" s="35">
        <f t="shared" si="39"/>
        <v>0</v>
      </c>
      <c r="T50" s="35">
        <f t="shared" si="39"/>
        <v>0</v>
      </c>
    </row>
    <row r="51" spans="1:20" s="45" customFormat="1" x14ac:dyDescent="0.5">
      <c r="A51" s="21"/>
      <c r="B51" s="80" t="s">
        <v>34</v>
      </c>
      <c r="C51" s="80"/>
      <c r="D51" s="38">
        <f t="shared" ref="D51:D54" si="40">+D9+D15+D21+D27+D33+D39</f>
        <v>9762</v>
      </c>
      <c r="E51" s="38">
        <v>511</v>
      </c>
      <c r="F51" s="39">
        <f t="shared" si="29"/>
        <v>5.2345830772382707</v>
      </c>
      <c r="G51" s="38">
        <f t="shared" ref="G51:T54" si="41">+G9+G15+G21+G27+G33+G39</f>
        <v>9251</v>
      </c>
      <c r="H51" s="38">
        <f t="shared" si="41"/>
        <v>511</v>
      </c>
      <c r="I51" s="39">
        <f t="shared" si="31"/>
        <v>5.5237271646308503</v>
      </c>
      <c r="J51" s="38">
        <f t="shared" si="41"/>
        <v>0</v>
      </c>
      <c r="K51" s="38">
        <f t="shared" si="41"/>
        <v>21</v>
      </c>
      <c r="L51" s="38">
        <f t="shared" si="41"/>
        <v>333</v>
      </c>
      <c r="M51" s="38">
        <f t="shared" si="41"/>
        <v>70</v>
      </c>
      <c r="N51" s="38">
        <f t="shared" si="41"/>
        <v>46</v>
      </c>
      <c r="O51" s="38">
        <f t="shared" si="41"/>
        <v>40</v>
      </c>
      <c r="P51" s="38">
        <f t="shared" si="41"/>
        <v>1</v>
      </c>
      <c r="Q51" s="38">
        <f t="shared" si="41"/>
        <v>0</v>
      </c>
      <c r="R51" s="38">
        <f t="shared" si="41"/>
        <v>0</v>
      </c>
      <c r="S51" s="38">
        <f t="shared" si="41"/>
        <v>0</v>
      </c>
      <c r="T51" s="38">
        <f t="shared" si="41"/>
        <v>0</v>
      </c>
    </row>
    <row r="52" spans="1:20" s="45" customFormat="1" x14ac:dyDescent="0.5">
      <c r="A52" s="21"/>
      <c r="B52" s="80" t="s">
        <v>35</v>
      </c>
      <c r="C52" s="80"/>
      <c r="D52" s="38">
        <f t="shared" si="40"/>
        <v>7875</v>
      </c>
      <c r="E52" s="38">
        <v>274</v>
      </c>
      <c r="F52" s="39">
        <f t="shared" si="29"/>
        <v>3.4793650793650794</v>
      </c>
      <c r="G52" s="38">
        <f t="shared" si="41"/>
        <v>7601</v>
      </c>
      <c r="H52" s="38">
        <f t="shared" si="41"/>
        <v>274</v>
      </c>
      <c r="I52" s="39">
        <f t="shared" si="31"/>
        <v>3.6047888435732141</v>
      </c>
      <c r="J52" s="38">
        <f t="shared" si="41"/>
        <v>0</v>
      </c>
      <c r="K52" s="38">
        <f t="shared" si="41"/>
        <v>1</v>
      </c>
      <c r="L52" s="38">
        <f t="shared" si="41"/>
        <v>130</v>
      </c>
      <c r="M52" s="38">
        <f t="shared" si="41"/>
        <v>89</v>
      </c>
      <c r="N52" s="38">
        <f t="shared" si="41"/>
        <v>11</v>
      </c>
      <c r="O52" s="38">
        <f t="shared" si="41"/>
        <v>13</v>
      </c>
      <c r="P52" s="38">
        <f t="shared" si="41"/>
        <v>30</v>
      </c>
      <c r="Q52" s="38">
        <f t="shared" si="41"/>
        <v>0</v>
      </c>
      <c r="R52" s="38">
        <f t="shared" si="41"/>
        <v>0</v>
      </c>
      <c r="S52" s="38">
        <f t="shared" si="41"/>
        <v>0</v>
      </c>
      <c r="T52" s="38">
        <f t="shared" si="41"/>
        <v>0</v>
      </c>
    </row>
    <row r="53" spans="1:20" s="45" customFormat="1" x14ac:dyDescent="0.5">
      <c r="A53" s="21"/>
      <c r="B53" s="80" t="s">
        <v>36</v>
      </c>
      <c r="C53" s="80"/>
      <c r="D53" s="38">
        <f t="shared" si="40"/>
        <v>5249</v>
      </c>
      <c r="E53" s="38">
        <v>157</v>
      </c>
      <c r="F53" s="39">
        <f t="shared" si="29"/>
        <v>2.9910459135073348</v>
      </c>
      <c r="G53" s="38">
        <f t="shared" si="41"/>
        <v>5092</v>
      </c>
      <c r="H53" s="38">
        <f t="shared" si="41"/>
        <v>157</v>
      </c>
      <c r="I53" s="39">
        <f t="shared" si="31"/>
        <v>3.0832678711704635</v>
      </c>
      <c r="J53" s="38">
        <f t="shared" si="41"/>
        <v>0</v>
      </c>
      <c r="K53" s="38">
        <f t="shared" si="41"/>
        <v>2</v>
      </c>
      <c r="L53" s="38">
        <f t="shared" si="41"/>
        <v>69</v>
      </c>
      <c r="M53" s="38">
        <f t="shared" si="41"/>
        <v>64</v>
      </c>
      <c r="N53" s="38">
        <f t="shared" si="41"/>
        <v>5</v>
      </c>
      <c r="O53" s="38">
        <f t="shared" si="41"/>
        <v>1</v>
      </c>
      <c r="P53" s="38">
        <f t="shared" si="41"/>
        <v>16</v>
      </c>
      <c r="Q53" s="38">
        <f t="shared" si="41"/>
        <v>0</v>
      </c>
      <c r="R53" s="38">
        <f t="shared" si="41"/>
        <v>0</v>
      </c>
      <c r="S53" s="38">
        <f t="shared" si="41"/>
        <v>0</v>
      </c>
      <c r="T53" s="38">
        <f t="shared" si="41"/>
        <v>0</v>
      </c>
    </row>
    <row r="54" spans="1:20" s="45" customFormat="1" x14ac:dyDescent="0.5">
      <c r="A54" s="25"/>
      <c r="B54" s="92" t="s">
        <v>37</v>
      </c>
      <c r="C54" s="92"/>
      <c r="D54" s="41">
        <f t="shared" si="40"/>
        <v>2132</v>
      </c>
      <c r="E54" s="41">
        <v>196</v>
      </c>
      <c r="F54" s="42">
        <f t="shared" si="29"/>
        <v>9.1932457786116331</v>
      </c>
      <c r="G54" s="41">
        <f t="shared" si="41"/>
        <v>1936</v>
      </c>
      <c r="H54" s="41">
        <f t="shared" si="41"/>
        <v>196</v>
      </c>
      <c r="I54" s="42">
        <f t="shared" si="31"/>
        <v>10.12396694214876</v>
      </c>
      <c r="J54" s="41">
        <f t="shared" si="41"/>
        <v>0</v>
      </c>
      <c r="K54" s="41">
        <f t="shared" si="41"/>
        <v>0</v>
      </c>
      <c r="L54" s="41">
        <f t="shared" si="41"/>
        <v>145</v>
      </c>
      <c r="M54" s="41">
        <f t="shared" si="41"/>
        <v>23</v>
      </c>
      <c r="N54" s="41">
        <f t="shared" si="41"/>
        <v>2</v>
      </c>
      <c r="O54" s="41">
        <f t="shared" si="41"/>
        <v>1</v>
      </c>
      <c r="P54" s="41">
        <f t="shared" si="41"/>
        <v>14</v>
      </c>
      <c r="Q54" s="41">
        <f t="shared" si="41"/>
        <v>3</v>
      </c>
      <c r="R54" s="41">
        <f t="shared" si="41"/>
        <v>8</v>
      </c>
      <c r="S54" s="41">
        <f t="shared" si="41"/>
        <v>0</v>
      </c>
      <c r="T54" s="41">
        <f t="shared" si="41"/>
        <v>0</v>
      </c>
    </row>
    <row r="55" spans="1:20" s="79" customFormat="1" x14ac:dyDescent="0.5">
      <c r="A55" s="87"/>
      <c r="B55" s="87" t="s">
        <v>32</v>
      </c>
      <c r="C55" s="93"/>
      <c r="D55" s="89">
        <f>SUM(D50:D54)</f>
        <v>39063</v>
      </c>
      <c r="E55" s="89">
        <v>2933</v>
      </c>
      <c r="F55" s="90">
        <f t="shared" si="29"/>
        <v>7.5083838926861732</v>
      </c>
      <c r="G55" s="89">
        <f>SUM(G50:G54)</f>
        <v>36130</v>
      </c>
      <c r="H55" s="89">
        <f t="shared" ref="H55:T55" si="42">SUM(H50:H54)</f>
        <v>2933</v>
      </c>
      <c r="I55" s="90">
        <f t="shared" si="31"/>
        <v>8.1179075560476051</v>
      </c>
      <c r="J55" s="89">
        <f t="shared" si="42"/>
        <v>0</v>
      </c>
      <c r="K55" s="89">
        <f t="shared" si="42"/>
        <v>50</v>
      </c>
      <c r="L55" s="89">
        <f t="shared" si="42"/>
        <v>830</v>
      </c>
      <c r="M55" s="89">
        <f t="shared" si="42"/>
        <v>1860</v>
      </c>
      <c r="N55" s="89">
        <f t="shared" si="42"/>
        <v>65</v>
      </c>
      <c r="O55" s="89">
        <f t="shared" si="42"/>
        <v>56</v>
      </c>
      <c r="P55" s="89">
        <f t="shared" si="42"/>
        <v>61</v>
      </c>
      <c r="Q55" s="89">
        <f t="shared" si="42"/>
        <v>3</v>
      </c>
      <c r="R55" s="89">
        <f t="shared" si="42"/>
        <v>8</v>
      </c>
      <c r="S55" s="89">
        <f t="shared" si="42"/>
        <v>0</v>
      </c>
      <c r="T55" s="89">
        <f t="shared" si="42"/>
        <v>0</v>
      </c>
    </row>
    <row r="56" spans="1:20" ht="13.5" customHeight="1" x14ac:dyDescent="0.5"/>
    <row r="57" spans="1:20" s="44" customFormat="1" x14ac:dyDescent="0.5">
      <c r="A57" s="55"/>
      <c r="B57" s="55"/>
      <c r="C57" s="56" t="s">
        <v>38</v>
      </c>
      <c r="D57" s="57" t="s">
        <v>1</v>
      </c>
      <c r="E57" s="58" t="s">
        <v>1</v>
      </c>
      <c r="F57" s="59" t="s">
        <v>2</v>
      </c>
      <c r="G57" s="58" t="s">
        <v>1</v>
      </c>
      <c r="H57" s="58" t="s">
        <v>1</v>
      </c>
      <c r="I57" s="59" t="s">
        <v>2</v>
      </c>
      <c r="J57" s="291" t="s">
        <v>45</v>
      </c>
      <c r="K57" s="292"/>
      <c r="L57" s="292"/>
      <c r="M57" s="292"/>
      <c r="N57" s="292"/>
      <c r="O57" s="292"/>
      <c r="P57" s="292"/>
      <c r="Q57" s="292"/>
      <c r="R57" s="292"/>
      <c r="S57" s="292"/>
      <c r="T57" s="293"/>
    </row>
    <row r="58" spans="1:20" s="44" customFormat="1" x14ac:dyDescent="0.5">
      <c r="A58" s="60"/>
      <c r="B58" s="60"/>
      <c r="C58" s="365" t="s">
        <v>159</v>
      </c>
      <c r="D58" s="62" t="s">
        <v>4</v>
      </c>
      <c r="E58" s="63" t="s">
        <v>5</v>
      </c>
      <c r="F58" s="64" t="s">
        <v>5</v>
      </c>
      <c r="G58" s="63" t="s">
        <v>4</v>
      </c>
      <c r="H58" s="63" t="s">
        <v>5</v>
      </c>
      <c r="I58" s="64" t="s">
        <v>5</v>
      </c>
      <c r="J58" s="65" t="s">
        <v>40</v>
      </c>
      <c r="K58" s="65" t="s">
        <v>6</v>
      </c>
      <c r="L58" s="65" t="s">
        <v>7</v>
      </c>
      <c r="M58" s="65" t="s">
        <v>8</v>
      </c>
      <c r="N58" s="65" t="s">
        <v>9</v>
      </c>
      <c r="O58" s="65" t="s">
        <v>10</v>
      </c>
      <c r="P58" s="65" t="s">
        <v>11</v>
      </c>
      <c r="Q58" s="65" t="s">
        <v>12</v>
      </c>
      <c r="R58" s="65" t="s">
        <v>13</v>
      </c>
      <c r="S58" s="63" t="s">
        <v>14</v>
      </c>
      <c r="T58" s="62" t="s">
        <v>46</v>
      </c>
    </row>
    <row r="59" spans="1:20" s="44" customFormat="1" x14ac:dyDescent="0.5">
      <c r="A59" s="66"/>
      <c r="B59" s="66"/>
      <c r="C59" s="67"/>
      <c r="D59" s="68" t="s">
        <v>16</v>
      </c>
      <c r="E59" s="65" t="s">
        <v>16</v>
      </c>
      <c r="F59" s="69" t="s">
        <v>16</v>
      </c>
      <c r="G59" s="65" t="s">
        <v>16</v>
      </c>
      <c r="H59" s="65" t="s">
        <v>16</v>
      </c>
      <c r="I59" s="69" t="s">
        <v>16</v>
      </c>
      <c r="J59" s="70" t="s">
        <v>41</v>
      </c>
      <c r="K59" s="70" t="s">
        <v>17</v>
      </c>
      <c r="L59" s="70" t="s">
        <v>18</v>
      </c>
      <c r="M59" s="70" t="s">
        <v>15</v>
      </c>
      <c r="N59" s="70" t="s">
        <v>19</v>
      </c>
      <c r="O59" s="70" t="s">
        <v>20</v>
      </c>
      <c r="P59" s="70" t="s">
        <v>21</v>
      </c>
      <c r="Q59" s="70" t="s">
        <v>22</v>
      </c>
      <c r="R59" s="70" t="s">
        <v>23</v>
      </c>
      <c r="S59" s="70" t="s">
        <v>24</v>
      </c>
      <c r="T59" s="70" t="s">
        <v>25</v>
      </c>
    </row>
    <row r="60" spans="1:20" s="45" customFormat="1" x14ac:dyDescent="0.5">
      <c r="A60" s="21"/>
      <c r="B60" s="22" t="s">
        <v>26</v>
      </c>
      <c r="C60" s="22"/>
      <c r="D60" s="4">
        <v>22193</v>
      </c>
      <c r="E60" s="4">
        <f>SUM(K60:T60)</f>
        <v>1045</v>
      </c>
      <c r="F60" s="24">
        <f t="shared" ref="F60:F72" si="43">+(E60*100)/D60</f>
        <v>4.7086919298878023</v>
      </c>
      <c r="G60" s="4" t="e">
        <f>+#REF!</f>
        <v>#REF!</v>
      </c>
      <c r="H60" s="4" t="e">
        <f t="shared" ref="H60:H65" si="44">SUM(J60:R60)</f>
        <v>#REF!</v>
      </c>
      <c r="I60" s="24" t="e">
        <f t="shared" ref="I60:I72" si="45">+(H60*100)/G60</f>
        <v>#REF!</v>
      </c>
      <c r="J60" s="4" t="e">
        <f>+#REF!</f>
        <v>#REF!</v>
      </c>
      <c r="K60" s="4">
        <v>0</v>
      </c>
      <c r="L60" s="4">
        <v>1</v>
      </c>
      <c r="M60" s="4">
        <v>0</v>
      </c>
      <c r="N60" s="4">
        <v>925</v>
      </c>
      <c r="O60" s="4">
        <v>25</v>
      </c>
      <c r="P60" s="4">
        <v>94</v>
      </c>
      <c r="Q60" s="4">
        <v>0</v>
      </c>
      <c r="R60" s="4">
        <v>0</v>
      </c>
      <c r="S60" s="4">
        <v>0</v>
      </c>
      <c r="T60" s="4">
        <v>0</v>
      </c>
    </row>
    <row r="61" spans="1:20" s="45" customFormat="1" x14ac:dyDescent="0.5">
      <c r="A61" s="21"/>
      <c r="B61" s="22" t="s">
        <v>27</v>
      </c>
      <c r="C61" s="22"/>
      <c r="D61" s="4">
        <f>2486+3676+9</f>
        <v>6171</v>
      </c>
      <c r="E61" s="4">
        <f t="shared" ref="E61:E65" si="46">SUM(K61:T61)</f>
        <v>372</v>
      </c>
      <c r="F61" s="24">
        <f t="shared" si="43"/>
        <v>6.0281964025279535</v>
      </c>
      <c r="G61" s="4" t="e">
        <f>+#REF!</f>
        <v>#REF!</v>
      </c>
      <c r="H61" s="4" t="e">
        <f t="shared" si="44"/>
        <v>#REF!</v>
      </c>
      <c r="I61" s="24" t="e">
        <f t="shared" si="45"/>
        <v>#REF!</v>
      </c>
      <c r="J61" s="4" t="e">
        <f>+#REF!</f>
        <v>#REF!</v>
      </c>
      <c r="K61" s="4">
        <v>0</v>
      </c>
      <c r="L61" s="4">
        <v>77</v>
      </c>
      <c r="M61" s="4">
        <v>0</v>
      </c>
      <c r="N61" s="4">
        <f>51+199</f>
        <v>250</v>
      </c>
      <c r="O61" s="4">
        <v>6</v>
      </c>
      <c r="P61" s="4">
        <f>27+12</f>
        <v>39</v>
      </c>
      <c r="Q61" s="4">
        <v>0</v>
      </c>
      <c r="R61" s="4">
        <v>0</v>
      </c>
      <c r="S61" s="4">
        <v>0</v>
      </c>
      <c r="T61" s="4">
        <v>0</v>
      </c>
    </row>
    <row r="62" spans="1:20" s="45" customFormat="1" x14ac:dyDescent="0.5">
      <c r="A62" s="21"/>
      <c r="B62" s="22" t="s">
        <v>28</v>
      </c>
      <c r="C62" s="22"/>
      <c r="D62" s="4">
        <v>541</v>
      </c>
      <c r="E62" s="4">
        <f t="shared" si="46"/>
        <v>68</v>
      </c>
      <c r="F62" s="24">
        <f t="shared" si="43"/>
        <v>12.569316081330868</v>
      </c>
      <c r="G62" s="4" t="e">
        <f>+#REF!</f>
        <v>#REF!</v>
      </c>
      <c r="H62" s="4" t="e">
        <f t="shared" si="44"/>
        <v>#REF!</v>
      </c>
      <c r="I62" s="24" t="e">
        <f t="shared" si="45"/>
        <v>#REF!</v>
      </c>
      <c r="J62" s="4" t="e">
        <f>+#REF!</f>
        <v>#REF!</v>
      </c>
      <c r="K62" s="4">
        <v>13</v>
      </c>
      <c r="L62" s="4">
        <v>0</v>
      </c>
      <c r="M62" s="4">
        <v>40</v>
      </c>
      <c r="N62" s="4">
        <v>3</v>
      </c>
      <c r="O62" s="4">
        <v>4</v>
      </c>
      <c r="P62" s="4">
        <v>0</v>
      </c>
      <c r="Q62" s="4">
        <v>0</v>
      </c>
      <c r="R62" s="4">
        <v>8</v>
      </c>
      <c r="S62" s="4">
        <v>0</v>
      </c>
      <c r="T62" s="4">
        <v>0</v>
      </c>
    </row>
    <row r="63" spans="1:20" s="45" customFormat="1" x14ac:dyDescent="0.5">
      <c r="A63" s="21"/>
      <c r="B63" s="22" t="s">
        <v>29</v>
      </c>
      <c r="C63" s="22"/>
      <c r="D63" s="4">
        <v>2023</v>
      </c>
      <c r="E63" s="4">
        <f t="shared" si="46"/>
        <v>433</v>
      </c>
      <c r="F63" s="24">
        <f t="shared" si="43"/>
        <v>21.403855659911024</v>
      </c>
      <c r="G63" s="4" t="e">
        <f>+#REF!</f>
        <v>#REF!</v>
      </c>
      <c r="H63" s="4" t="e">
        <f t="shared" si="44"/>
        <v>#REF!</v>
      </c>
      <c r="I63" s="24" t="e">
        <f t="shared" si="45"/>
        <v>#REF!</v>
      </c>
      <c r="J63" s="4" t="e">
        <f>+#REF!</f>
        <v>#REF!</v>
      </c>
      <c r="K63" s="4">
        <v>37</v>
      </c>
      <c r="L63" s="4">
        <v>0</v>
      </c>
      <c r="M63" s="4">
        <v>387</v>
      </c>
      <c r="N63" s="4">
        <v>0</v>
      </c>
      <c r="O63" s="4">
        <v>4</v>
      </c>
      <c r="P63" s="4">
        <v>0</v>
      </c>
      <c r="Q63" s="4">
        <v>0</v>
      </c>
      <c r="R63" s="4">
        <v>5</v>
      </c>
      <c r="S63" s="4">
        <v>0</v>
      </c>
      <c r="T63" s="4">
        <v>0</v>
      </c>
    </row>
    <row r="64" spans="1:20" s="45" customFormat="1" x14ac:dyDescent="0.5">
      <c r="A64" s="21"/>
      <c r="B64" s="22" t="s">
        <v>30</v>
      </c>
      <c r="C64" s="22"/>
      <c r="D64" s="4">
        <v>725</v>
      </c>
      <c r="E64" s="4">
        <f t="shared" si="46"/>
        <v>33</v>
      </c>
      <c r="F64" s="24">
        <f t="shared" si="43"/>
        <v>4.5517241379310347</v>
      </c>
      <c r="G64" s="4" t="e">
        <f>+#REF!</f>
        <v>#REF!</v>
      </c>
      <c r="H64" s="4" t="e">
        <f t="shared" si="44"/>
        <v>#REF!</v>
      </c>
      <c r="I64" s="24" t="e">
        <f t="shared" si="45"/>
        <v>#REF!</v>
      </c>
      <c r="J64" s="4" t="e">
        <f>+#REF!</f>
        <v>#REF!</v>
      </c>
      <c r="K64" s="4">
        <v>0</v>
      </c>
      <c r="L64" s="4">
        <v>0</v>
      </c>
      <c r="M64" s="4">
        <v>33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</row>
    <row r="65" spans="1:20" s="45" customFormat="1" x14ac:dyDescent="0.5">
      <c r="A65" s="25"/>
      <c r="B65" s="26" t="s">
        <v>31</v>
      </c>
      <c r="C65" s="26"/>
      <c r="D65" s="4">
        <v>14</v>
      </c>
      <c r="E65" s="4">
        <f t="shared" si="46"/>
        <v>1</v>
      </c>
      <c r="F65" s="28">
        <f t="shared" si="43"/>
        <v>7.1428571428571432</v>
      </c>
      <c r="G65" s="4" t="e">
        <f>+#REF!</f>
        <v>#REF!</v>
      </c>
      <c r="H65" s="3" t="e">
        <f t="shared" si="44"/>
        <v>#REF!</v>
      </c>
      <c r="I65" s="28" t="e">
        <f t="shared" si="45"/>
        <v>#REF!</v>
      </c>
      <c r="J65" s="3" t="e">
        <f>+#REF!</f>
        <v>#REF!</v>
      </c>
      <c r="K65" s="4">
        <v>0</v>
      </c>
      <c r="L65" s="4">
        <v>0</v>
      </c>
      <c r="M65" s="4">
        <v>1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</row>
    <row r="66" spans="1:20" s="79" customFormat="1" x14ac:dyDescent="0.5">
      <c r="A66" s="87"/>
      <c r="B66" s="87" t="s">
        <v>32</v>
      </c>
      <c r="C66" s="88"/>
      <c r="D66" s="89">
        <f>SUM(D60:D65)</f>
        <v>31667</v>
      </c>
      <c r="E66" s="89">
        <f>SUM(E60:E65)</f>
        <v>1952</v>
      </c>
      <c r="F66" s="90">
        <f t="shared" si="43"/>
        <v>6.1641456405722046</v>
      </c>
      <c r="G66" s="89" t="e">
        <f>SUM(G60:G65)</f>
        <v>#REF!</v>
      </c>
      <c r="H66" s="89" t="e">
        <f t="shared" ref="H66" si="47">SUM(H60:H65)</f>
        <v>#REF!</v>
      </c>
      <c r="I66" s="90" t="e">
        <f t="shared" si="45"/>
        <v>#REF!</v>
      </c>
      <c r="J66" s="89" t="e">
        <f t="shared" ref="J66:T66" si="48">SUM(J60:J65)</f>
        <v>#REF!</v>
      </c>
      <c r="K66" s="89">
        <f t="shared" si="48"/>
        <v>50</v>
      </c>
      <c r="L66" s="89">
        <f t="shared" si="48"/>
        <v>78</v>
      </c>
      <c r="M66" s="89">
        <f t="shared" si="48"/>
        <v>461</v>
      </c>
      <c r="N66" s="89">
        <f t="shared" si="48"/>
        <v>1178</v>
      </c>
      <c r="O66" s="89">
        <f t="shared" si="48"/>
        <v>39</v>
      </c>
      <c r="P66" s="89">
        <f t="shared" si="48"/>
        <v>133</v>
      </c>
      <c r="Q66" s="89">
        <f t="shared" si="48"/>
        <v>0</v>
      </c>
      <c r="R66" s="89">
        <f t="shared" si="48"/>
        <v>13</v>
      </c>
      <c r="S66" s="89">
        <f t="shared" si="48"/>
        <v>0</v>
      </c>
      <c r="T66" s="89">
        <f t="shared" si="48"/>
        <v>0</v>
      </c>
    </row>
    <row r="67" spans="1:20" s="45" customFormat="1" x14ac:dyDescent="0.5">
      <c r="A67" s="32"/>
      <c r="B67" s="91" t="s">
        <v>33</v>
      </c>
      <c r="C67" s="91"/>
      <c r="D67" s="35">
        <v>12383</v>
      </c>
      <c r="E67" s="35">
        <f>SUM(K67:T67)</f>
        <v>1215</v>
      </c>
      <c r="F67" s="36">
        <f t="shared" si="43"/>
        <v>9.8118388112735193</v>
      </c>
      <c r="G67" s="35" t="e">
        <f>+#REF!+#REF!+#REF!+#REF!+#REF!+#REF!</f>
        <v>#REF!</v>
      </c>
      <c r="H67" s="35" t="e">
        <f>+#REF!+#REF!+#REF!+#REF!+#REF!+#REF!</f>
        <v>#REF!</v>
      </c>
      <c r="I67" s="36" t="e">
        <f t="shared" si="45"/>
        <v>#REF!</v>
      </c>
      <c r="J67" s="35" t="e">
        <f>+#REF!+#REF!+#REF!+#REF!+#REF!+#REF!</f>
        <v>#REF!</v>
      </c>
      <c r="K67" s="35">
        <f>26+0</f>
        <v>26</v>
      </c>
      <c r="L67" s="35">
        <f>1+49</f>
        <v>50</v>
      </c>
      <c r="M67" s="35">
        <f>3+1</f>
        <v>4</v>
      </c>
      <c r="N67" s="35">
        <f>3+185+51+887</f>
        <v>1126</v>
      </c>
      <c r="O67" s="35">
        <v>1</v>
      </c>
      <c r="P67" s="35">
        <v>8</v>
      </c>
      <c r="Q67" s="35">
        <v>0</v>
      </c>
      <c r="R67" s="35">
        <v>0</v>
      </c>
      <c r="S67" s="35">
        <v>0</v>
      </c>
      <c r="T67" s="35">
        <v>0</v>
      </c>
    </row>
    <row r="68" spans="1:20" s="45" customFormat="1" x14ac:dyDescent="0.5">
      <c r="A68" s="21"/>
      <c r="B68" s="80" t="s">
        <v>34</v>
      </c>
      <c r="C68" s="80"/>
      <c r="D68" s="38">
        <v>9122</v>
      </c>
      <c r="E68" s="35">
        <f t="shared" ref="E68:E71" si="49">SUM(K68:T68)</f>
        <v>287</v>
      </c>
      <c r="F68" s="39">
        <f t="shared" si="43"/>
        <v>3.1462398596798948</v>
      </c>
      <c r="G68" s="38" t="e">
        <f>+#REF!+#REF!+#REF!+#REF!+#REF!+#REF!</f>
        <v>#REF!</v>
      </c>
      <c r="H68" s="38" t="e">
        <f>+#REF!+#REF!+#REF!+#REF!+#REF!+#REF!</f>
        <v>#REF!</v>
      </c>
      <c r="I68" s="39" t="e">
        <f t="shared" si="45"/>
        <v>#REF!</v>
      </c>
      <c r="J68" s="38" t="e">
        <f>+#REF!+#REF!+#REF!+#REF!+#REF!+#REF!</f>
        <v>#REF!</v>
      </c>
      <c r="K68" s="35">
        <v>21</v>
      </c>
      <c r="L68" s="35">
        <v>13</v>
      </c>
      <c r="M68" s="35">
        <f>7+130</f>
        <v>137</v>
      </c>
      <c r="N68" s="35">
        <f>9+28</f>
        <v>37</v>
      </c>
      <c r="O68" s="35">
        <f>3+3+3+14</f>
        <v>23</v>
      </c>
      <c r="P68" s="35">
        <f>46+10</f>
        <v>56</v>
      </c>
      <c r="Q68" s="35">
        <v>0</v>
      </c>
      <c r="R68" s="35">
        <v>0</v>
      </c>
      <c r="S68" s="35">
        <v>0</v>
      </c>
      <c r="T68" s="35">
        <v>0</v>
      </c>
    </row>
    <row r="69" spans="1:20" s="45" customFormat="1" x14ac:dyDescent="0.5">
      <c r="A69" s="21"/>
      <c r="B69" s="80" t="s">
        <v>35</v>
      </c>
      <c r="C69" s="80"/>
      <c r="D69" s="38">
        <v>6708</v>
      </c>
      <c r="E69" s="35">
        <f t="shared" si="49"/>
        <v>204</v>
      </c>
      <c r="F69" s="39">
        <f t="shared" si="43"/>
        <v>3.0411449016100178</v>
      </c>
      <c r="G69" s="38" t="e">
        <f>+#REF!+#REF!+#REF!+#REF!+#REF!+#REF!</f>
        <v>#REF!</v>
      </c>
      <c r="H69" s="38" t="e">
        <f>+#REF!+#REF!+#REF!+#REF!+#REF!+#REF!</f>
        <v>#REF!</v>
      </c>
      <c r="I69" s="39" t="e">
        <f t="shared" si="45"/>
        <v>#REF!</v>
      </c>
      <c r="J69" s="38" t="e">
        <f>+#REF!+#REF!+#REF!+#REF!+#REF!+#REF!</f>
        <v>#REF!</v>
      </c>
      <c r="K69" s="35">
        <v>1</v>
      </c>
      <c r="L69" s="35">
        <v>8</v>
      </c>
      <c r="M69" s="35">
        <f>117+8</f>
        <v>125</v>
      </c>
      <c r="N69" s="35">
        <f>9+3</f>
        <v>12</v>
      </c>
      <c r="O69" s="35">
        <f>1+1+2+8</f>
        <v>12</v>
      </c>
      <c r="P69" s="35">
        <f>4+12+30</f>
        <v>46</v>
      </c>
      <c r="Q69" s="35">
        <v>0</v>
      </c>
      <c r="R69" s="35">
        <v>0</v>
      </c>
      <c r="S69" s="35">
        <v>0</v>
      </c>
      <c r="T69" s="35">
        <v>0</v>
      </c>
    </row>
    <row r="70" spans="1:20" s="45" customFormat="1" x14ac:dyDescent="0.5">
      <c r="A70" s="21"/>
      <c r="B70" s="80" t="s">
        <v>36</v>
      </c>
      <c r="C70" s="80"/>
      <c r="D70" s="38">
        <v>2390</v>
      </c>
      <c r="E70" s="35">
        <f t="shared" si="49"/>
        <v>148</v>
      </c>
      <c r="F70" s="39">
        <f t="shared" si="43"/>
        <v>6.1924686192468616</v>
      </c>
      <c r="G70" s="38" t="e">
        <f>+#REF!+#REF!+#REF!+#REF!+#REF!+#REF!</f>
        <v>#REF!</v>
      </c>
      <c r="H70" s="38" t="e">
        <f>+#REF!+#REF!+#REF!+#REF!+#REF!+#REF!</f>
        <v>#REF!</v>
      </c>
      <c r="I70" s="39" t="e">
        <f t="shared" si="45"/>
        <v>#REF!</v>
      </c>
      <c r="J70" s="38" t="e">
        <f>+#REF!+#REF!+#REF!+#REF!+#REF!+#REF!</f>
        <v>#REF!</v>
      </c>
      <c r="K70" s="35">
        <v>2</v>
      </c>
      <c r="L70" s="35">
        <v>5</v>
      </c>
      <c r="M70" s="35">
        <f>8+118</f>
        <v>126</v>
      </c>
      <c r="N70" s="35">
        <v>1</v>
      </c>
      <c r="O70" s="35">
        <f>1+1</f>
        <v>2</v>
      </c>
      <c r="P70" s="35">
        <f>11+1</f>
        <v>12</v>
      </c>
      <c r="Q70" s="35">
        <v>0</v>
      </c>
      <c r="R70" s="35">
        <v>0</v>
      </c>
      <c r="S70" s="35">
        <v>0</v>
      </c>
      <c r="T70" s="35">
        <v>0</v>
      </c>
    </row>
    <row r="71" spans="1:20" s="45" customFormat="1" x14ac:dyDescent="0.5">
      <c r="A71" s="25"/>
      <c r="B71" s="92" t="s">
        <v>37</v>
      </c>
      <c r="C71" s="92"/>
      <c r="D71" s="41">
        <v>1064</v>
      </c>
      <c r="E71" s="35">
        <f t="shared" si="49"/>
        <v>98</v>
      </c>
      <c r="F71" s="42">
        <f t="shared" si="43"/>
        <v>9.2105263157894743</v>
      </c>
      <c r="G71" s="41" t="e">
        <f>+#REF!+#REF!+#REF!+#REF!+#REF!+#REF!</f>
        <v>#REF!</v>
      </c>
      <c r="H71" s="41" t="e">
        <f>+#REF!+#REF!+#REF!+#REF!+#REF!+#REF!</f>
        <v>#REF!</v>
      </c>
      <c r="I71" s="42" t="e">
        <f t="shared" si="45"/>
        <v>#REF!</v>
      </c>
      <c r="J71" s="41" t="e">
        <f>+#REF!+#REF!+#REF!+#REF!+#REF!+#REF!</f>
        <v>#REF!</v>
      </c>
      <c r="K71" s="35">
        <v>0</v>
      </c>
      <c r="L71" s="35">
        <f>1+1</f>
        <v>2</v>
      </c>
      <c r="M71" s="35">
        <f>3+1+4+49+12</f>
        <v>69</v>
      </c>
      <c r="N71" s="35">
        <v>2</v>
      </c>
      <c r="O71" s="35">
        <v>1</v>
      </c>
      <c r="P71" s="35">
        <f>2+1+1+4+1+2</f>
        <v>11</v>
      </c>
      <c r="Q71" s="35">
        <v>0</v>
      </c>
      <c r="R71" s="35">
        <f>5+8</f>
        <v>13</v>
      </c>
      <c r="S71" s="35">
        <v>0</v>
      </c>
      <c r="T71" s="35">
        <v>0</v>
      </c>
    </row>
    <row r="72" spans="1:20" s="79" customFormat="1" x14ac:dyDescent="0.5">
      <c r="A72" s="87"/>
      <c r="B72" s="87" t="s">
        <v>32</v>
      </c>
      <c r="C72" s="93"/>
      <c r="D72" s="89">
        <f>SUM(D67:D71)</f>
        <v>31667</v>
      </c>
      <c r="E72" s="89">
        <f>SUM(E67:E71)</f>
        <v>1952</v>
      </c>
      <c r="F72" s="90">
        <f t="shared" si="43"/>
        <v>6.1641456405722046</v>
      </c>
      <c r="G72" s="89" t="e">
        <f>SUM(G67:G71)</f>
        <v>#REF!</v>
      </c>
      <c r="H72" s="89" t="e">
        <f t="shared" ref="H72" si="50">SUM(H67:H71)</f>
        <v>#REF!</v>
      </c>
      <c r="I72" s="90" t="e">
        <f t="shared" si="45"/>
        <v>#REF!</v>
      </c>
      <c r="J72" s="89" t="e">
        <f t="shared" ref="J72:T72" si="51">SUM(J67:J71)</f>
        <v>#REF!</v>
      </c>
      <c r="K72" s="89">
        <f t="shared" si="51"/>
        <v>50</v>
      </c>
      <c r="L72" s="89">
        <f t="shared" si="51"/>
        <v>78</v>
      </c>
      <c r="M72" s="89">
        <f t="shared" si="51"/>
        <v>461</v>
      </c>
      <c r="N72" s="89">
        <f t="shared" si="51"/>
        <v>1178</v>
      </c>
      <c r="O72" s="89">
        <f t="shared" si="51"/>
        <v>39</v>
      </c>
      <c r="P72" s="89">
        <f t="shared" si="51"/>
        <v>133</v>
      </c>
      <c r="Q72" s="89">
        <f t="shared" si="51"/>
        <v>0</v>
      </c>
      <c r="R72" s="89">
        <f t="shared" si="51"/>
        <v>13</v>
      </c>
      <c r="S72" s="89">
        <f t="shared" si="51"/>
        <v>0</v>
      </c>
      <c r="T72" s="89">
        <f t="shared" si="51"/>
        <v>0</v>
      </c>
    </row>
    <row r="73" spans="1:20" s="44" customFormat="1" ht="24" x14ac:dyDescent="0.55000000000000004">
      <c r="A73" s="1" t="s">
        <v>42</v>
      </c>
      <c r="B73" s="368"/>
      <c r="C73" s="369"/>
      <c r="D73" s="46"/>
      <c r="E73" s="46"/>
      <c r="F73" s="47"/>
      <c r="G73" s="46"/>
      <c r="H73" s="46"/>
      <c r="I73" s="47"/>
      <c r="J73" s="48"/>
      <c r="K73" s="48"/>
      <c r="L73" s="48"/>
      <c r="M73" s="49"/>
      <c r="N73" s="49"/>
      <c r="O73" s="49"/>
      <c r="P73" s="49"/>
      <c r="Q73" s="49"/>
      <c r="R73" s="50"/>
      <c r="S73" s="50"/>
      <c r="T73" s="51"/>
    </row>
    <row r="74" spans="1:20" ht="24" x14ac:dyDescent="0.55000000000000004">
      <c r="A74" s="52" t="s">
        <v>0</v>
      </c>
      <c r="B74" s="368"/>
      <c r="C74" s="369"/>
      <c r="D74" s="46"/>
      <c r="E74" s="46"/>
      <c r="F74" s="47"/>
      <c r="K74" s="96"/>
      <c r="L74" s="96"/>
      <c r="M74" s="96"/>
      <c r="N74" s="96"/>
      <c r="O74" s="96"/>
      <c r="P74" s="96"/>
      <c r="Q74" s="96"/>
      <c r="R74" s="96"/>
      <c r="S74" s="96"/>
      <c r="T74" s="96"/>
    </row>
    <row r="75" spans="1:20" s="44" customFormat="1" x14ac:dyDescent="0.5">
      <c r="A75" s="5"/>
      <c r="B75" s="5"/>
      <c r="C75" s="6" t="s">
        <v>38</v>
      </c>
      <c r="D75" s="7" t="s">
        <v>1</v>
      </c>
      <c r="E75" s="8" t="s">
        <v>1</v>
      </c>
      <c r="F75" s="9" t="s">
        <v>2</v>
      </c>
      <c r="G75" s="8" t="s">
        <v>1</v>
      </c>
      <c r="H75" s="8" t="s">
        <v>1</v>
      </c>
      <c r="I75" s="9" t="s">
        <v>2</v>
      </c>
      <c r="J75" s="294" t="s">
        <v>39</v>
      </c>
      <c r="K75" s="295"/>
      <c r="L75" s="295"/>
      <c r="M75" s="295"/>
      <c r="N75" s="295"/>
      <c r="O75" s="295"/>
      <c r="P75" s="295"/>
      <c r="Q75" s="295"/>
      <c r="R75" s="295"/>
      <c r="S75" s="295"/>
      <c r="T75" s="296"/>
    </row>
    <row r="76" spans="1:20" s="44" customFormat="1" x14ac:dyDescent="0.5">
      <c r="A76" s="10"/>
      <c r="B76" s="10"/>
      <c r="C76" s="11" t="s">
        <v>167</v>
      </c>
      <c r="D76" s="12" t="s">
        <v>4</v>
      </c>
      <c r="E76" s="13" t="s">
        <v>5</v>
      </c>
      <c r="F76" s="14" t="s">
        <v>5</v>
      </c>
      <c r="G76" s="13" t="s">
        <v>4</v>
      </c>
      <c r="H76" s="13" t="s">
        <v>5</v>
      </c>
      <c r="I76" s="14" t="s">
        <v>5</v>
      </c>
      <c r="J76" s="15" t="s">
        <v>40</v>
      </c>
      <c r="K76" s="15" t="s">
        <v>6</v>
      </c>
      <c r="L76" s="15" t="s">
        <v>7</v>
      </c>
      <c r="M76" s="15" t="s">
        <v>8</v>
      </c>
      <c r="N76" s="15" t="s">
        <v>9</v>
      </c>
      <c r="O76" s="15" t="s">
        <v>10</v>
      </c>
      <c r="P76" s="15" t="s">
        <v>11</v>
      </c>
      <c r="Q76" s="15" t="s">
        <v>12</v>
      </c>
      <c r="R76" s="15" t="s">
        <v>13</v>
      </c>
      <c r="S76" s="13" t="s">
        <v>14</v>
      </c>
      <c r="T76" s="12" t="s">
        <v>46</v>
      </c>
    </row>
    <row r="77" spans="1:20" s="44" customFormat="1" x14ac:dyDescent="0.5">
      <c r="A77" s="16"/>
      <c r="B77" s="16"/>
      <c r="C77" s="17"/>
      <c r="D77" s="18" t="s">
        <v>16</v>
      </c>
      <c r="E77" s="15" t="s">
        <v>16</v>
      </c>
      <c r="F77" s="19" t="s">
        <v>16</v>
      </c>
      <c r="G77" s="15" t="s">
        <v>16</v>
      </c>
      <c r="H77" s="15" t="s">
        <v>16</v>
      </c>
      <c r="I77" s="19" t="s">
        <v>16</v>
      </c>
      <c r="J77" s="20" t="s">
        <v>41</v>
      </c>
      <c r="K77" s="20" t="s">
        <v>17</v>
      </c>
      <c r="L77" s="20" t="s">
        <v>18</v>
      </c>
      <c r="M77" s="20" t="s">
        <v>15</v>
      </c>
      <c r="N77" s="20" t="s">
        <v>19</v>
      </c>
      <c r="O77" s="20" t="s">
        <v>20</v>
      </c>
      <c r="P77" s="20" t="s">
        <v>21</v>
      </c>
      <c r="Q77" s="20" t="s">
        <v>22</v>
      </c>
      <c r="R77" s="20" t="s">
        <v>23</v>
      </c>
      <c r="S77" s="20" t="s">
        <v>24</v>
      </c>
      <c r="T77" s="20" t="s">
        <v>47</v>
      </c>
    </row>
    <row r="78" spans="1:20" s="44" customFormat="1" hidden="1" x14ac:dyDescent="0.5">
      <c r="A78" s="71" t="s">
        <v>44</v>
      </c>
      <c r="B78" s="72"/>
      <c r="C78" s="73"/>
      <c r="D78" s="74">
        <f>+D79+D85+D91+D97+D103+D109</f>
        <v>39063</v>
      </c>
      <c r="E78" s="74">
        <v>2933</v>
      </c>
      <c r="F78" s="75">
        <f t="shared" ref="F78:F79" si="52">+(E78*100)/D78</f>
        <v>7.5083838926861732</v>
      </c>
      <c r="G78" s="74">
        <f t="shared" ref="G78:T78" si="53">+G79+G85+G91+G97+G103+G109</f>
        <v>36130</v>
      </c>
      <c r="H78" s="74">
        <f t="shared" si="53"/>
        <v>2933</v>
      </c>
      <c r="I78" s="74" t="e">
        <f t="shared" si="53"/>
        <v>#DIV/0!</v>
      </c>
      <c r="J78" s="74">
        <f t="shared" si="53"/>
        <v>0</v>
      </c>
      <c r="K78" s="74">
        <f t="shared" si="53"/>
        <v>50</v>
      </c>
      <c r="L78" s="74">
        <f t="shared" si="53"/>
        <v>830</v>
      </c>
      <c r="M78" s="74">
        <f t="shared" si="53"/>
        <v>1860</v>
      </c>
      <c r="N78" s="74">
        <f t="shared" si="53"/>
        <v>65</v>
      </c>
      <c r="O78" s="74">
        <f t="shared" si="53"/>
        <v>56</v>
      </c>
      <c r="P78" s="74">
        <f t="shared" si="53"/>
        <v>61</v>
      </c>
      <c r="Q78" s="74">
        <f t="shared" si="53"/>
        <v>3</v>
      </c>
      <c r="R78" s="74">
        <f t="shared" si="53"/>
        <v>8</v>
      </c>
      <c r="S78" s="74">
        <f t="shared" si="53"/>
        <v>0</v>
      </c>
      <c r="T78" s="74">
        <f t="shared" si="53"/>
        <v>0</v>
      </c>
    </row>
    <row r="79" spans="1:20" s="44" customFormat="1" hidden="1" x14ac:dyDescent="0.5">
      <c r="A79" s="76"/>
      <c r="B79" s="22" t="s">
        <v>26</v>
      </c>
      <c r="C79" s="2"/>
      <c r="D79" s="77">
        <f>SUM(D80:D84)</f>
        <v>28241</v>
      </c>
      <c r="E79" s="77">
        <v>2186</v>
      </c>
      <c r="F79" s="78">
        <f t="shared" si="52"/>
        <v>7.7405191034311818</v>
      </c>
      <c r="G79" s="77">
        <f>SUM(G80:G84)</f>
        <v>26055</v>
      </c>
      <c r="H79" s="77">
        <f t="shared" ref="H79:T79" si="54">SUM(H80:H84)</f>
        <v>2186</v>
      </c>
      <c r="I79" s="78">
        <f t="shared" si="54"/>
        <v>35.056339353052316</v>
      </c>
      <c r="J79" s="77">
        <f t="shared" si="54"/>
        <v>0</v>
      </c>
      <c r="K79" s="77">
        <f t="shared" si="54"/>
        <v>0</v>
      </c>
      <c r="L79" s="77">
        <f t="shared" si="54"/>
        <v>538</v>
      </c>
      <c r="M79" s="77">
        <f t="shared" si="54"/>
        <v>1511</v>
      </c>
      <c r="N79" s="77">
        <f t="shared" si="54"/>
        <v>43</v>
      </c>
      <c r="O79" s="77">
        <f t="shared" si="54"/>
        <v>43</v>
      </c>
      <c r="P79" s="77">
        <f t="shared" si="54"/>
        <v>48</v>
      </c>
      <c r="Q79" s="77">
        <f t="shared" si="54"/>
        <v>3</v>
      </c>
      <c r="R79" s="77">
        <f t="shared" si="54"/>
        <v>0</v>
      </c>
      <c r="S79" s="77">
        <f t="shared" si="54"/>
        <v>0</v>
      </c>
      <c r="T79" s="77">
        <f t="shared" si="54"/>
        <v>0</v>
      </c>
    </row>
    <row r="80" spans="1:20" s="44" customFormat="1" hidden="1" x14ac:dyDescent="0.5">
      <c r="A80" s="76"/>
      <c r="B80" s="79"/>
      <c r="C80" s="80" t="s">
        <v>33</v>
      </c>
      <c r="D80" s="81">
        <f>+G80+H80</f>
        <v>10942</v>
      </c>
      <c r="E80" s="4">
        <v>1564</v>
      </c>
      <c r="F80" s="24">
        <f>+(E80*100)/D80</f>
        <v>14.29354779747761</v>
      </c>
      <c r="G80" s="81">
        <v>9378</v>
      </c>
      <c r="H80" s="4">
        <f>SUM(K80:T80)</f>
        <v>1564</v>
      </c>
      <c r="I80" s="24">
        <f>+(H80*100)/G80</f>
        <v>16.677329921091918</v>
      </c>
      <c r="J80" s="81">
        <v>0</v>
      </c>
      <c r="K80" s="81">
        <v>0</v>
      </c>
      <c r="L80" s="81">
        <v>52</v>
      </c>
      <c r="M80" s="81">
        <v>1510</v>
      </c>
      <c r="N80" s="81">
        <v>1</v>
      </c>
      <c r="O80" s="81">
        <v>1</v>
      </c>
      <c r="P80" s="81">
        <v>0</v>
      </c>
      <c r="Q80" s="81">
        <v>0</v>
      </c>
      <c r="R80" s="81">
        <v>0</v>
      </c>
      <c r="S80" s="81">
        <v>0</v>
      </c>
      <c r="T80" s="81">
        <v>0</v>
      </c>
    </row>
    <row r="81" spans="1:20" s="44" customFormat="1" hidden="1" x14ac:dyDescent="0.5">
      <c r="A81" s="76"/>
      <c r="B81" s="79"/>
      <c r="C81" s="80" t="s">
        <v>34</v>
      </c>
      <c r="D81" s="81">
        <f t="shared" ref="D81:D84" si="55">+G81+H81</f>
        <v>6153</v>
      </c>
      <c r="E81" s="4">
        <v>311</v>
      </c>
      <c r="F81" s="24">
        <f t="shared" ref="F81:F85" si="56">+(E81*100)/D81</f>
        <v>5.0544449861856009</v>
      </c>
      <c r="G81" s="81">
        <v>5842</v>
      </c>
      <c r="H81" s="4">
        <f t="shared" ref="H81:H84" si="57">SUM(K81:T81)</f>
        <v>311</v>
      </c>
      <c r="I81" s="24">
        <f t="shared" ref="I81:I84" si="58">+(H81*100)/G81</f>
        <v>5.3235193426908589</v>
      </c>
      <c r="J81" s="81">
        <v>0</v>
      </c>
      <c r="K81" s="81">
        <v>0</v>
      </c>
      <c r="L81" s="81">
        <v>249</v>
      </c>
      <c r="M81" s="81">
        <v>1</v>
      </c>
      <c r="N81" s="81">
        <v>30</v>
      </c>
      <c r="O81" s="81">
        <v>31</v>
      </c>
      <c r="P81" s="81">
        <v>0</v>
      </c>
      <c r="Q81" s="81">
        <v>0</v>
      </c>
      <c r="R81" s="81">
        <v>0</v>
      </c>
      <c r="S81" s="81">
        <v>0</v>
      </c>
      <c r="T81" s="81">
        <v>0</v>
      </c>
    </row>
    <row r="82" spans="1:20" s="44" customFormat="1" hidden="1" x14ac:dyDescent="0.5">
      <c r="A82" s="76"/>
      <c r="B82" s="79"/>
      <c r="C82" s="80" t="s">
        <v>35</v>
      </c>
      <c r="D82" s="81">
        <f t="shared" si="55"/>
        <v>5509</v>
      </c>
      <c r="E82" s="4">
        <v>120</v>
      </c>
      <c r="F82" s="24">
        <f t="shared" si="56"/>
        <v>2.1782537665638046</v>
      </c>
      <c r="G82" s="81">
        <v>5389</v>
      </c>
      <c r="H82" s="4">
        <f t="shared" si="57"/>
        <v>120</v>
      </c>
      <c r="I82" s="24">
        <f t="shared" si="58"/>
        <v>2.2267582111709037</v>
      </c>
      <c r="J82" s="81">
        <v>0</v>
      </c>
      <c r="K82" s="81">
        <v>0</v>
      </c>
      <c r="L82" s="81">
        <v>83</v>
      </c>
      <c r="M82" s="81">
        <v>0</v>
      </c>
      <c r="N82" s="81">
        <v>6</v>
      </c>
      <c r="O82" s="81">
        <v>9</v>
      </c>
      <c r="P82" s="81">
        <v>22</v>
      </c>
      <c r="Q82" s="81">
        <v>0</v>
      </c>
      <c r="R82" s="81">
        <v>0</v>
      </c>
      <c r="S82" s="81">
        <v>0</v>
      </c>
      <c r="T82" s="81">
        <v>0</v>
      </c>
    </row>
    <row r="83" spans="1:20" s="44" customFormat="1" hidden="1" x14ac:dyDescent="0.5">
      <c r="A83" s="76"/>
      <c r="B83" s="79"/>
      <c r="C83" s="80" t="s">
        <v>36</v>
      </c>
      <c r="D83" s="81">
        <f t="shared" si="55"/>
        <v>4071</v>
      </c>
      <c r="E83" s="4">
        <v>56</v>
      </c>
      <c r="F83" s="24">
        <f t="shared" si="56"/>
        <v>1.3755833947433063</v>
      </c>
      <c r="G83" s="81">
        <v>4015</v>
      </c>
      <c r="H83" s="4">
        <f t="shared" si="57"/>
        <v>56</v>
      </c>
      <c r="I83" s="24">
        <f t="shared" si="58"/>
        <v>1.3947696139476962</v>
      </c>
      <c r="J83" s="81">
        <v>0</v>
      </c>
      <c r="K83" s="81">
        <v>0</v>
      </c>
      <c r="L83" s="81">
        <v>38</v>
      </c>
      <c r="M83" s="81">
        <v>0</v>
      </c>
      <c r="N83" s="81">
        <v>4</v>
      </c>
      <c r="O83" s="81">
        <v>1</v>
      </c>
      <c r="P83" s="81">
        <v>13</v>
      </c>
      <c r="Q83" s="81">
        <v>0</v>
      </c>
      <c r="R83" s="81">
        <v>0</v>
      </c>
      <c r="S83" s="81">
        <v>0</v>
      </c>
      <c r="T83" s="81">
        <v>0</v>
      </c>
    </row>
    <row r="84" spans="1:20" s="44" customFormat="1" hidden="1" x14ac:dyDescent="0.5">
      <c r="A84" s="76"/>
      <c r="B84" s="79"/>
      <c r="C84" s="80" t="s">
        <v>37</v>
      </c>
      <c r="D84" s="81">
        <f t="shared" si="55"/>
        <v>1566</v>
      </c>
      <c r="E84" s="4">
        <v>135</v>
      </c>
      <c r="F84" s="24">
        <f t="shared" si="56"/>
        <v>8.6206896551724146</v>
      </c>
      <c r="G84" s="81">
        <f>1048+283+85+15</f>
        <v>1431</v>
      </c>
      <c r="H84" s="4">
        <f t="shared" si="57"/>
        <v>135</v>
      </c>
      <c r="I84" s="24">
        <f t="shared" si="58"/>
        <v>9.433962264150944</v>
      </c>
      <c r="J84" s="81">
        <v>0</v>
      </c>
      <c r="K84" s="81">
        <v>0</v>
      </c>
      <c r="L84" s="81">
        <f>62+39+12+2+1</f>
        <v>116</v>
      </c>
      <c r="M84" s="81">
        <v>0</v>
      </c>
      <c r="N84" s="81">
        <f>1+1</f>
        <v>2</v>
      </c>
      <c r="O84" s="81">
        <v>1</v>
      </c>
      <c r="P84" s="81">
        <f>7+4+2</f>
        <v>13</v>
      </c>
      <c r="Q84" s="81">
        <v>3</v>
      </c>
      <c r="R84" s="81">
        <v>0</v>
      </c>
      <c r="S84" s="81">
        <v>0</v>
      </c>
      <c r="T84" s="81">
        <v>0</v>
      </c>
    </row>
    <row r="85" spans="1:20" s="44" customFormat="1" hidden="1" x14ac:dyDescent="0.5">
      <c r="A85" s="76"/>
      <c r="B85" s="82" t="s">
        <v>27</v>
      </c>
      <c r="C85" s="83"/>
      <c r="D85" s="77">
        <f>SUM(D86:D90)</f>
        <v>7357</v>
      </c>
      <c r="E85" s="77">
        <v>438</v>
      </c>
      <c r="F85" s="78">
        <f t="shared" si="56"/>
        <v>5.9535136604594268</v>
      </c>
      <c r="G85" s="77">
        <f>SUM(G86:G90)</f>
        <v>6919</v>
      </c>
      <c r="H85" s="77">
        <f t="shared" ref="H85:T85" si="59">SUM(H86:H90)</f>
        <v>438</v>
      </c>
      <c r="I85" s="78">
        <f t="shared" si="59"/>
        <v>32.846497073861045</v>
      </c>
      <c r="J85" s="77">
        <f t="shared" si="59"/>
        <v>0</v>
      </c>
      <c r="K85" s="77">
        <f t="shared" si="59"/>
        <v>0</v>
      </c>
      <c r="L85" s="77">
        <f t="shared" si="59"/>
        <v>292</v>
      </c>
      <c r="M85" s="77">
        <f t="shared" si="59"/>
        <v>100</v>
      </c>
      <c r="N85" s="77">
        <f t="shared" si="59"/>
        <v>22</v>
      </c>
      <c r="O85" s="77">
        <f t="shared" si="59"/>
        <v>11</v>
      </c>
      <c r="P85" s="77">
        <f t="shared" si="59"/>
        <v>13</v>
      </c>
      <c r="Q85" s="77">
        <f t="shared" si="59"/>
        <v>0</v>
      </c>
      <c r="R85" s="77">
        <f t="shared" si="59"/>
        <v>0</v>
      </c>
      <c r="S85" s="77">
        <f t="shared" si="59"/>
        <v>0</v>
      </c>
      <c r="T85" s="77">
        <f t="shared" si="59"/>
        <v>0</v>
      </c>
    </row>
    <row r="86" spans="1:20" s="44" customFormat="1" hidden="1" x14ac:dyDescent="0.5">
      <c r="A86" s="76"/>
      <c r="B86" s="79"/>
      <c r="C86" s="80" t="s">
        <v>33</v>
      </c>
      <c r="D86" s="81">
        <f>+G86+H86</f>
        <v>2903</v>
      </c>
      <c r="E86" s="4">
        <v>201</v>
      </c>
      <c r="F86" s="24">
        <f>+(E86*100)/D86</f>
        <v>6.9238718566999653</v>
      </c>
      <c r="G86" s="81">
        <f>1344+1358</f>
        <v>2702</v>
      </c>
      <c r="H86" s="4">
        <f>SUM(J86:R86)</f>
        <v>201</v>
      </c>
      <c r="I86" s="24">
        <f>+(H86*100)/G86</f>
        <v>7.438934122871947</v>
      </c>
      <c r="J86" s="81">
        <v>0</v>
      </c>
      <c r="K86" s="81">
        <v>0</v>
      </c>
      <c r="L86" s="81">
        <f>49+52</f>
        <v>101</v>
      </c>
      <c r="M86" s="81">
        <f>94+6</f>
        <v>100</v>
      </c>
      <c r="N86" s="81">
        <v>0</v>
      </c>
      <c r="O86" s="81">
        <v>0</v>
      </c>
      <c r="P86" s="81">
        <v>0</v>
      </c>
      <c r="Q86" s="81">
        <v>0</v>
      </c>
      <c r="R86" s="81">
        <v>0</v>
      </c>
      <c r="S86" s="81">
        <v>0</v>
      </c>
      <c r="T86" s="81">
        <v>0</v>
      </c>
    </row>
    <row r="87" spans="1:20" s="44" customFormat="1" hidden="1" x14ac:dyDescent="0.5">
      <c r="A87" s="76"/>
      <c r="B87" s="79"/>
      <c r="C87" s="80" t="s">
        <v>34</v>
      </c>
      <c r="D87" s="81">
        <f t="shared" ref="D87:D90" si="60">+G87+H87</f>
        <v>2314</v>
      </c>
      <c r="E87" s="4">
        <v>108</v>
      </c>
      <c r="F87" s="24">
        <f t="shared" ref="F87:F91" si="61">+(E87*100)/D87</f>
        <v>4.6672428694900603</v>
      </c>
      <c r="G87" s="81">
        <f>1297+909</f>
        <v>2206</v>
      </c>
      <c r="H87" s="4">
        <f t="shared" ref="H87:H90" si="62">SUM(J87:R87)</f>
        <v>108</v>
      </c>
      <c r="I87" s="24">
        <f t="shared" ref="I87:I90" si="63">+(H87*100)/G87</f>
        <v>4.8957388939256576</v>
      </c>
      <c r="J87" s="81">
        <v>0</v>
      </c>
      <c r="K87" s="81">
        <v>0</v>
      </c>
      <c r="L87" s="81">
        <f>60+24</f>
        <v>84</v>
      </c>
      <c r="M87" s="81">
        <v>0</v>
      </c>
      <c r="N87" s="81">
        <f>15+1</f>
        <v>16</v>
      </c>
      <c r="O87" s="81">
        <v>7</v>
      </c>
      <c r="P87" s="81">
        <v>1</v>
      </c>
      <c r="Q87" s="81">
        <v>0</v>
      </c>
      <c r="R87" s="81">
        <v>0</v>
      </c>
      <c r="S87" s="81">
        <v>0</v>
      </c>
      <c r="T87" s="81">
        <v>0</v>
      </c>
    </row>
    <row r="88" spans="1:20" s="44" customFormat="1" hidden="1" x14ac:dyDescent="0.5">
      <c r="A88" s="76"/>
      <c r="B88" s="79"/>
      <c r="C88" s="80" t="s">
        <v>35</v>
      </c>
      <c r="D88" s="81">
        <f t="shared" si="60"/>
        <v>1116</v>
      </c>
      <c r="E88" s="4">
        <v>64</v>
      </c>
      <c r="F88" s="24">
        <f t="shared" si="61"/>
        <v>5.7347670250896057</v>
      </c>
      <c r="G88" s="81">
        <f>811+241</f>
        <v>1052</v>
      </c>
      <c r="H88" s="4">
        <f t="shared" si="62"/>
        <v>64</v>
      </c>
      <c r="I88" s="24">
        <f t="shared" si="63"/>
        <v>6.083650190114068</v>
      </c>
      <c r="J88" s="81">
        <v>0</v>
      </c>
      <c r="K88" s="81">
        <v>0</v>
      </c>
      <c r="L88" s="81">
        <f>39+8</f>
        <v>47</v>
      </c>
      <c r="M88" s="81">
        <v>0</v>
      </c>
      <c r="N88" s="81">
        <v>5</v>
      </c>
      <c r="O88" s="81">
        <v>4</v>
      </c>
      <c r="P88" s="81">
        <v>8</v>
      </c>
      <c r="Q88" s="81">
        <v>0</v>
      </c>
      <c r="R88" s="81">
        <v>0</v>
      </c>
      <c r="S88" s="81">
        <v>0</v>
      </c>
      <c r="T88" s="81">
        <v>0</v>
      </c>
    </row>
    <row r="89" spans="1:20" s="44" customFormat="1" hidden="1" x14ac:dyDescent="0.5">
      <c r="A89" s="76"/>
      <c r="B89" s="79"/>
      <c r="C89" s="80" t="s">
        <v>36</v>
      </c>
      <c r="D89" s="81">
        <f t="shared" si="60"/>
        <v>651</v>
      </c>
      <c r="E89" s="4">
        <v>35</v>
      </c>
      <c r="F89" s="24">
        <f t="shared" si="61"/>
        <v>5.376344086021505</v>
      </c>
      <c r="G89" s="81">
        <f>545+71</f>
        <v>616</v>
      </c>
      <c r="H89" s="4">
        <f t="shared" si="62"/>
        <v>35</v>
      </c>
      <c r="I89" s="24">
        <f t="shared" si="63"/>
        <v>5.6818181818181817</v>
      </c>
      <c r="J89" s="81">
        <v>0</v>
      </c>
      <c r="K89" s="81">
        <v>0</v>
      </c>
      <c r="L89" s="81">
        <f>27+4</f>
        <v>31</v>
      </c>
      <c r="M89" s="81">
        <v>0</v>
      </c>
      <c r="N89" s="81">
        <v>1</v>
      </c>
      <c r="O89" s="81">
        <v>0</v>
      </c>
      <c r="P89" s="81">
        <v>3</v>
      </c>
      <c r="Q89" s="81">
        <v>0</v>
      </c>
      <c r="R89" s="81">
        <v>0</v>
      </c>
      <c r="S89" s="81">
        <v>0</v>
      </c>
      <c r="T89" s="81">
        <v>0</v>
      </c>
    </row>
    <row r="90" spans="1:20" s="44" customFormat="1" hidden="1" x14ac:dyDescent="0.5">
      <c r="A90" s="76"/>
      <c r="B90" s="79"/>
      <c r="C90" s="80" t="s">
        <v>37</v>
      </c>
      <c r="D90" s="81">
        <f t="shared" si="60"/>
        <v>373</v>
      </c>
      <c r="E90" s="4">
        <v>30</v>
      </c>
      <c r="F90" s="24">
        <f t="shared" si="61"/>
        <v>8.0428954423592494</v>
      </c>
      <c r="G90" s="81">
        <f>204+12+81+5+25+14+2</f>
        <v>343</v>
      </c>
      <c r="H90" s="4">
        <f t="shared" si="62"/>
        <v>30</v>
      </c>
      <c r="I90" s="24">
        <f t="shared" si="63"/>
        <v>8.7463556851311957</v>
      </c>
      <c r="J90" s="81">
        <v>0</v>
      </c>
      <c r="K90" s="81">
        <v>0</v>
      </c>
      <c r="L90" s="81">
        <f>10+8+6+5</f>
        <v>29</v>
      </c>
      <c r="M90" s="81">
        <v>0</v>
      </c>
      <c r="N90" s="81">
        <v>0</v>
      </c>
      <c r="O90" s="81">
        <v>0</v>
      </c>
      <c r="P90" s="81">
        <v>1</v>
      </c>
      <c r="Q90" s="81">
        <v>0</v>
      </c>
      <c r="R90" s="81">
        <v>0</v>
      </c>
      <c r="S90" s="81">
        <v>0</v>
      </c>
      <c r="T90" s="81">
        <v>0</v>
      </c>
    </row>
    <row r="91" spans="1:20" s="44" customFormat="1" hidden="1" x14ac:dyDescent="0.5">
      <c r="A91" s="76"/>
      <c r="B91" s="82" t="s">
        <v>28</v>
      </c>
      <c r="C91" s="83"/>
      <c r="D91" s="77">
        <f>SUM(D92:D96)</f>
        <v>623</v>
      </c>
      <c r="E91" s="77">
        <v>58</v>
      </c>
      <c r="F91" s="77">
        <f t="shared" si="61"/>
        <v>9.3097913322632415</v>
      </c>
      <c r="G91" s="77">
        <f>SUM(G92:G96)</f>
        <v>565</v>
      </c>
      <c r="H91" s="77">
        <f t="shared" ref="H91:T91" si="64">SUM(H92:H96)</f>
        <v>58</v>
      </c>
      <c r="I91" s="78" t="e">
        <f t="shared" si="64"/>
        <v>#DIV/0!</v>
      </c>
      <c r="J91" s="77">
        <f t="shared" si="64"/>
        <v>0</v>
      </c>
      <c r="K91" s="77">
        <f t="shared" si="64"/>
        <v>13</v>
      </c>
      <c r="L91" s="77">
        <f t="shared" si="64"/>
        <v>0</v>
      </c>
      <c r="M91" s="77">
        <f t="shared" si="64"/>
        <v>42</v>
      </c>
      <c r="N91" s="77">
        <f t="shared" si="64"/>
        <v>0</v>
      </c>
      <c r="O91" s="77">
        <f t="shared" si="64"/>
        <v>0</v>
      </c>
      <c r="P91" s="77">
        <f t="shared" si="64"/>
        <v>0</v>
      </c>
      <c r="Q91" s="77">
        <f t="shared" si="64"/>
        <v>0</v>
      </c>
      <c r="R91" s="77">
        <f t="shared" si="64"/>
        <v>3</v>
      </c>
      <c r="S91" s="77">
        <f t="shared" si="64"/>
        <v>0</v>
      </c>
      <c r="T91" s="77">
        <f t="shared" si="64"/>
        <v>0</v>
      </c>
    </row>
    <row r="92" spans="1:20" s="44" customFormat="1" hidden="1" x14ac:dyDescent="0.5">
      <c r="A92" s="76"/>
      <c r="B92" s="79"/>
      <c r="C92" s="80" t="s">
        <v>33</v>
      </c>
      <c r="D92" s="81">
        <f>+G92+H92</f>
        <v>9</v>
      </c>
      <c r="E92" s="4">
        <v>9</v>
      </c>
      <c r="F92" s="24">
        <f>+(E92*100)/D92</f>
        <v>100</v>
      </c>
      <c r="G92" s="4">
        <v>0</v>
      </c>
      <c r="H92" s="4">
        <f>SUM(J92:R92)</f>
        <v>9</v>
      </c>
      <c r="I92" s="24" t="e">
        <f>+(H92*100)/G92</f>
        <v>#DIV/0!</v>
      </c>
      <c r="J92" s="81">
        <v>0</v>
      </c>
      <c r="K92" s="81">
        <v>9</v>
      </c>
      <c r="L92" s="81">
        <v>0</v>
      </c>
      <c r="M92" s="81">
        <v>0</v>
      </c>
      <c r="N92" s="81">
        <v>0</v>
      </c>
      <c r="O92" s="81">
        <v>0</v>
      </c>
      <c r="P92" s="81">
        <v>0</v>
      </c>
      <c r="Q92" s="81">
        <v>0</v>
      </c>
      <c r="R92" s="81">
        <v>0</v>
      </c>
      <c r="S92" s="81">
        <v>0</v>
      </c>
      <c r="T92" s="81">
        <v>0</v>
      </c>
    </row>
    <row r="93" spans="1:20" s="44" customFormat="1" hidden="1" x14ac:dyDescent="0.5">
      <c r="A93" s="76"/>
      <c r="B93" s="79"/>
      <c r="C93" s="80" t="s">
        <v>34</v>
      </c>
      <c r="D93" s="81">
        <f t="shared" ref="D93:D96" si="65">+G93+H93</f>
        <v>207</v>
      </c>
      <c r="E93" s="4">
        <v>12</v>
      </c>
      <c r="F93" s="24">
        <f t="shared" ref="F93:F97" si="66">+(E93*100)/D93</f>
        <v>5.7971014492753623</v>
      </c>
      <c r="G93" s="4">
        <v>195</v>
      </c>
      <c r="H93" s="4">
        <f t="shared" ref="H93:H96" si="67">SUM(J93:R93)</f>
        <v>12</v>
      </c>
      <c r="I93" s="24">
        <f t="shared" ref="I93:I96" si="68">+(H93*100)/G93</f>
        <v>6.1538461538461542</v>
      </c>
      <c r="J93" s="81">
        <v>0</v>
      </c>
      <c r="K93" s="81">
        <v>2</v>
      </c>
      <c r="L93" s="81">
        <v>0</v>
      </c>
      <c r="M93" s="81">
        <v>10</v>
      </c>
      <c r="N93" s="81">
        <v>0</v>
      </c>
      <c r="O93" s="81">
        <v>0</v>
      </c>
      <c r="P93" s="81">
        <v>0</v>
      </c>
      <c r="Q93" s="81">
        <v>0</v>
      </c>
      <c r="R93" s="81">
        <v>0</v>
      </c>
      <c r="S93" s="81">
        <v>0</v>
      </c>
      <c r="T93" s="81">
        <v>0</v>
      </c>
    </row>
    <row r="94" spans="1:20" s="44" customFormat="1" hidden="1" x14ac:dyDescent="0.5">
      <c r="A94" s="76"/>
      <c r="B94" s="79"/>
      <c r="C94" s="80" t="s">
        <v>35</v>
      </c>
      <c r="D94" s="81">
        <f t="shared" si="65"/>
        <v>264</v>
      </c>
      <c r="E94" s="4">
        <v>19</v>
      </c>
      <c r="F94" s="24">
        <f t="shared" si="66"/>
        <v>7.1969696969696972</v>
      </c>
      <c r="G94" s="4">
        <v>245</v>
      </c>
      <c r="H94" s="4">
        <f t="shared" si="67"/>
        <v>19</v>
      </c>
      <c r="I94" s="24">
        <f t="shared" si="68"/>
        <v>7.7551020408163263</v>
      </c>
      <c r="J94" s="81">
        <v>0</v>
      </c>
      <c r="K94" s="81">
        <v>1</v>
      </c>
      <c r="L94" s="81">
        <v>0</v>
      </c>
      <c r="M94" s="81">
        <v>18</v>
      </c>
      <c r="N94" s="81">
        <v>0</v>
      </c>
      <c r="O94" s="81">
        <v>0</v>
      </c>
      <c r="P94" s="81">
        <v>0</v>
      </c>
      <c r="Q94" s="81">
        <v>0</v>
      </c>
      <c r="R94" s="81">
        <v>0</v>
      </c>
      <c r="S94" s="81">
        <v>0</v>
      </c>
      <c r="T94" s="81">
        <v>0</v>
      </c>
    </row>
    <row r="95" spans="1:20" s="44" customFormat="1" hidden="1" x14ac:dyDescent="0.5">
      <c r="A95" s="76"/>
      <c r="B95" s="79"/>
      <c r="C95" s="80" t="s">
        <v>36</v>
      </c>
      <c r="D95" s="81">
        <f t="shared" si="65"/>
        <v>109</v>
      </c>
      <c r="E95" s="4">
        <v>14</v>
      </c>
      <c r="F95" s="24">
        <f t="shared" si="66"/>
        <v>12.844036697247706</v>
      </c>
      <c r="G95" s="4">
        <v>95</v>
      </c>
      <c r="H95" s="4">
        <f t="shared" si="67"/>
        <v>14</v>
      </c>
      <c r="I95" s="24">
        <f t="shared" si="68"/>
        <v>14.736842105263158</v>
      </c>
      <c r="J95" s="81">
        <v>0</v>
      </c>
      <c r="K95" s="81">
        <v>1</v>
      </c>
      <c r="L95" s="81">
        <v>0</v>
      </c>
      <c r="M95" s="81">
        <v>13</v>
      </c>
      <c r="N95" s="81">
        <v>0</v>
      </c>
      <c r="O95" s="81">
        <v>0</v>
      </c>
      <c r="P95" s="81">
        <v>0</v>
      </c>
      <c r="Q95" s="81">
        <v>0</v>
      </c>
      <c r="R95" s="81">
        <v>0</v>
      </c>
      <c r="S95" s="81">
        <v>0</v>
      </c>
      <c r="T95" s="81">
        <v>0</v>
      </c>
    </row>
    <row r="96" spans="1:20" s="44" customFormat="1" hidden="1" x14ac:dyDescent="0.5">
      <c r="A96" s="76"/>
      <c r="B96" s="79"/>
      <c r="C96" s="80" t="s">
        <v>37</v>
      </c>
      <c r="D96" s="81">
        <f t="shared" si="65"/>
        <v>34</v>
      </c>
      <c r="E96" s="4">
        <v>4</v>
      </c>
      <c r="F96" s="24">
        <f t="shared" si="66"/>
        <v>11.764705882352942</v>
      </c>
      <c r="G96" s="4">
        <v>30</v>
      </c>
      <c r="H96" s="4">
        <f t="shared" si="67"/>
        <v>4</v>
      </c>
      <c r="I96" s="24">
        <f t="shared" si="68"/>
        <v>13.333333333333334</v>
      </c>
      <c r="J96" s="81">
        <v>0</v>
      </c>
      <c r="K96" s="81">
        <v>0</v>
      </c>
      <c r="L96" s="81">
        <v>0</v>
      </c>
      <c r="M96" s="81">
        <v>1</v>
      </c>
      <c r="N96" s="81">
        <v>0</v>
      </c>
      <c r="O96" s="81">
        <v>0</v>
      </c>
      <c r="P96" s="81">
        <v>0</v>
      </c>
      <c r="Q96" s="81">
        <v>0</v>
      </c>
      <c r="R96" s="81">
        <v>3</v>
      </c>
      <c r="S96" s="81">
        <v>0</v>
      </c>
      <c r="T96" s="81">
        <v>0</v>
      </c>
    </row>
    <row r="97" spans="1:20" s="44" customFormat="1" hidden="1" x14ac:dyDescent="0.5">
      <c r="A97" s="76"/>
      <c r="B97" s="82" t="s">
        <v>29</v>
      </c>
      <c r="C97" s="83"/>
      <c r="D97" s="77">
        <f>SUM(D98:D102)</f>
        <v>2083</v>
      </c>
      <c r="E97" s="77">
        <v>211</v>
      </c>
      <c r="F97" s="78">
        <f t="shared" si="66"/>
        <v>10.129620739318291</v>
      </c>
      <c r="G97" s="77">
        <f>SUM(G98:G102)</f>
        <v>1872</v>
      </c>
      <c r="H97" s="77">
        <f t="shared" ref="H97:T97" si="69">SUM(H98:H102)</f>
        <v>211</v>
      </c>
      <c r="I97" s="78">
        <f t="shared" si="69"/>
        <v>415.42794431205317</v>
      </c>
      <c r="J97" s="77">
        <f t="shared" si="69"/>
        <v>0</v>
      </c>
      <c r="K97" s="77">
        <f t="shared" si="69"/>
        <v>37</v>
      </c>
      <c r="L97" s="77">
        <f t="shared" si="69"/>
        <v>0</v>
      </c>
      <c r="M97" s="77">
        <f t="shared" si="69"/>
        <v>167</v>
      </c>
      <c r="N97" s="77">
        <f t="shared" si="69"/>
        <v>0</v>
      </c>
      <c r="O97" s="77">
        <f t="shared" si="69"/>
        <v>2</v>
      </c>
      <c r="P97" s="77">
        <f t="shared" si="69"/>
        <v>0</v>
      </c>
      <c r="Q97" s="77">
        <f t="shared" si="69"/>
        <v>0</v>
      </c>
      <c r="R97" s="77">
        <f t="shared" si="69"/>
        <v>5</v>
      </c>
      <c r="S97" s="77">
        <f t="shared" si="69"/>
        <v>0</v>
      </c>
      <c r="T97" s="77">
        <f t="shared" si="69"/>
        <v>0</v>
      </c>
    </row>
    <row r="98" spans="1:20" s="44" customFormat="1" hidden="1" x14ac:dyDescent="0.5">
      <c r="A98" s="76"/>
      <c r="B98" s="79"/>
      <c r="C98" s="80" t="s">
        <v>33</v>
      </c>
      <c r="D98" s="81">
        <f>+G98+H98</f>
        <v>23</v>
      </c>
      <c r="E98" s="4">
        <v>18</v>
      </c>
      <c r="F98" s="24">
        <f>+(E98*100)/D98</f>
        <v>78.260869565217391</v>
      </c>
      <c r="G98" s="81">
        <v>5</v>
      </c>
      <c r="H98" s="4">
        <f>SUM(J98:R98)</f>
        <v>18</v>
      </c>
      <c r="I98" s="24">
        <f>+(H98*100)/G98</f>
        <v>360</v>
      </c>
      <c r="J98" s="81">
        <v>0</v>
      </c>
      <c r="K98" s="81">
        <v>17</v>
      </c>
      <c r="L98" s="81">
        <v>0</v>
      </c>
      <c r="M98" s="81">
        <v>1</v>
      </c>
      <c r="N98" s="81">
        <v>0</v>
      </c>
      <c r="O98" s="81">
        <v>0</v>
      </c>
      <c r="P98" s="81">
        <v>0</v>
      </c>
      <c r="Q98" s="81">
        <v>0</v>
      </c>
      <c r="R98" s="81">
        <v>0</v>
      </c>
      <c r="S98" s="81">
        <v>0</v>
      </c>
      <c r="T98" s="81">
        <v>0</v>
      </c>
    </row>
    <row r="99" spans="1:20" s="44" customFormat="1" hidden="1" x14ac:dyDescent="0.5">
      <c r="A99" s="76"/>
      <c r="B99" s="79"/>
      <c r="C99" s="80" t="s">
        <v>34</v>
      </c>
      <c r="D99" s="81">
        <f t="shared" ref="D99:D102" si="70">+G99+H99</f>
        <v>872</v>
      </c>
      <c r="E99" s="4">
        <v>72</v>
      </c>
      <c r="F99" s="24">
        <f t="shared" ref="F99:F103" si="71">+(E99*100)/D99</f>
        <v>8.2568807339449535</v>
      </c>
      <c r="G99" s="81">
        <v>800</v>
      </c>
      <c r="H99" s="4">
        <f t="shared" ref="H99:H102" si="72">SUM(J99:R99)</f>
        <v>72</v>
      </c>
      <c r="I99" s="24">
        <f t="shared" ref="I99:I102" si="73">+(H99*100)/G99</f>
        <v>9</v>
      </c>
      <c r="J99" s="81">
        <v>0</v>
      </c>
      <c r="K99" s="81">
        <v>19</v>
      </c>
      <c r="L99" s="81">
        <v>0</v>
      </c>
      <c r="M99" s="81">
        <v>51</v>
      </c>
      <c r="N99" s="81">
        <v>0</v>
      </c>
      <c r="O99" s="81">
        <v>2</v>
      </c>
      <c r="P99" s="81">
        <v>0</v>
      </c>
      <c r="Q99" s="81">
        <v>0</v>
      </c>
      <c r="R99" s="81">
        <v>0</v>
      </c>
      <c r="S99" s="81">
        <v>0</v>
      </c>
      <c r="T99" s="81">
        <v>0</v>
      </c>
    </row>
    <row r="100" spans="1:20" s="44" customFormat="1" hidden="1" x14ac:dyDescent="0.5">
      <c r="A100" s="76"/>
      <c r="B100" s="79"/>
      <c r="C100" s="80" t="s">
        <v>35</v>
      </c>
      <c r="D100" s="81">
        <f t="shared" si="70"/>
        <v>774</v>
      </c>
      <c r="E100" s="4">
        <v>60</v>
      </c>
      <c r="F100" s="24">
        <f t="shared" si="71"/>
        <v>7.7519379844961236</v>
      </c>
      <c r="G100" s="81">
        <v>714</v>
      </c>
      <c r="H100" s="4">
        <f t="shared" si="72"/>
        <v>60</v>
      </c>
      <c r="I100" s="24">
        <f t="shared" si="73"/>
        <v>8.4033613445378155</v>
      </c>
      <c r="J100" s="81">
        <v>0</v>
      </c>
      <c r="K100" s="81">
        <v>0</v>
      </c>
      <c r="L100" s="81">
        <v>0</v>
      </c>
      <c r="M100" s="81">
        <v>60</v>
      </c>
      <c r="N100" s="81">
        <v>0</v>
      </c>
      <c r="O100" s="81">
        <v>0</v>
      </c>
      <c r="P100" s="81">
        <v>0</v>
      </c>
      <c r="Q100" s="81">
        <v>0</v>
      </c>
      <c r="R100" s="81">
        <v>0</v>
      </c>
      <c r="S100" s="81">
        <v>0</v>
      </c>
      <c r="T100" s="81">
        <v>0</v>
      </c>
    </row>
    <row r="101" spans="1:20" s="44" customFormat="1" hidden="1" x14ac:dyDescent="0.5">
      <c r="A101" s="76"/>
      <c r="B101" s="79"/>
      <c r="C101" s="80" t="s">
        <v>36</v>
      </c>
      <c r="D101" s="81">
        <f t="shared" si="70"/>
        <v>310</v>
      </c>
      <c r="E101" s="4">
        <v>42</v>
      </c>
      <c r="F101" s="24">
        <f t="shared" si="71"/>
        <v>13.548387096774194</v>
      </c>
      <c r="G101" s="81">
        <v>268</v>
      </c>
      <c r="H101" s="4">
        <f t="shared" si="72"/>
        <v>42</v>
      </c>
      <c r="I101" s="24">
        <f t="shared" si="73"/>
        <v>15.671641791044776</v>
      </c>
      <c r="J101" s="81">
        <v>0</v>
      </c>
      <c r="K101" s="81">
        <v>1</v>
      </c>
      <c r="L101" s="81">
        <v>0</v>
      </c>
      <c r="M101" s="81">
        <v>41</v>
      </c>
      <c r="N101" s="81">
        <v>0</v>
      </c>
      <c r="O101" s="81">
        <v>0</v>
      </c>
      <c r="P101" s="81">
        <v>0</v>
      </c>
      <c r="Q101" s="81">
        <v>0</v>
      </c>
      <c r="R101" s="81">
        <v>0</v>
      </c>
      <c r="S101" s="81">
        <v>0</v>
      </c>
      <c r="T101" s="81">
        <v>0</v>
      </c>
    </row>
    <row r="102" spans="1:20" s="44" customFormat="1" hidden="1" x14ac:dyDescent="0.5">
      <c r="A102" s="76"/>
      <c r="B102" s="79"/>
      <c r="C102" s="80" t="s">
        <v>37</v>
      </c>
      <c r="D102" s="81">
        <f t="shared" si="70"/>
        <v>104</v>
      </c>
      <c r="E102" s="4">
        <v>19</v>
      </c>
      <c r="F102" s="24">
        <f t="shared" si="71"/>
        <v>18.26923076923077</v>
      </c>
      <c r="G102" s="81">
        <f>69+16</f>
        <v>85</v>
      </c>
      <c r="H102" s="4">
        <f t="shared" si="72"/>
        <v>19</v>
      </c>
      <c r="I102" s="24">
        <f t="shared" si="73"/>
        <v>22.352941176470587</v>
      </c>
      <c r="J102" s="81">
        <v>0</v>
      </c>
      <c r="K102" s="81">
        <v>0</v>
      </c>
      <c r="L102" s="81">
        <v>0</v>
      </c>
      <c r="M102" s="81">
        <f>12+2</f>
        <v>14</v>
      </c>
      <c r="N102" s="81">
        <v>0</v>
      </c>
      <c r="O102" s="81">
        <v>0</v>
      </c>
      <c r="P102" s="81">
        <v>0</v>
      </c>
      <c r="Q102" s="81">
        <v>0</v>
      </c>
      <c r="R102" s="81">
        <v>5</v>
      </c>
      <c r="S102" s="81">
        <v>0</v>
      </c>
      <c r="T102" s="81">
        <v>0</v>
      </c>
    </row>
    <row r="103" spans="1:20" s="44" customFormat="1" hidden="1" x14ac:dyDescent="0.5">
      <c r="A103" s="76"/>
      <c r="B103" s="22" t="s">
        <v>30</v>
      </c>
      <c r="C103" s="80"/>
      <c r="D103" s="77">
        <f>SUM(D104:D108)</f>
        <v>741</v>
      </c>
      <c r="E103" s="77">
        <v>39</v>
      </c>
      <c r="F103" s="78">
        <f t="shared" si="71"/>
        <v>5.2631578947368425</v>
      </c>
      <c r="G103" s="77">
        <f>SUM(G104:G108)</f>
        <v>702</v>
      </c>
      <c r="H103" s="77">
        <f t="shared" ref="H103:T103" si="74">SUM(H104:H108)</f>
        <v>39</v>
      </c>
      <c r="I103" s="78">
        <f t="shared" si="74"/>
        <v>39.595407617186204</v>
      </c>
      <c r="J103" s="77">
        <f t="shared" si="74"/>
        <v>0</v>
      </c>
      <c r="K103" s="77">
        <f t="shared" si="74"/>
        <v>0</v>
      </c>
      <c r="L103" s="77">
        <f t="shared" si="74"/>
        <v>0</v>
      </c>
      <c r="M103" s="77">
        <f t="shared" si="74"/>
        <v>39</v>
      </c>
      <c r="N103" s="77">
        <f t="shared" si="74"/>
        <v>0</v>
      </c>
      <c r="O103" s="77">
        <f t="shared" si="74"/>
        <v>0</v>
      </c>
      <c r="P103" s="77">
        <f t="shared" si="74"/>
        <v>0</v>
      </c>
      <c r="Q103" s="77">
        <f t="shared" si="74"/>
        <v>0</v>
      </c>
      <c r="R103" s="77">
        <f t="shared" si="74"/>
        <v>0</v>
      </c>
      <c r="S103" s="77">
        <f t="shared" si="74"/>
        <v>0</v>
      </c>
      <c r="T103" s="77">
        <f t="shared" si="74"/>
        <v>0</v>
      </c>
    </row>
    <row r="104" spans="1:20" s="44" customFormat="1" hidden="1" x14ac:dyDescent="0.5">
      <c r="A104" s="76"/>
      <c r="B104" s="79"/>
      <c r="C104" s="80" t="s">
        <v>33</v>
      </c>
      <c r="D104" s="81">
        <f>+G104+H104</f>
        <v>168</v>
      </c>
      <c r="E104" s="4">
        <v>3</v>
      </c>
      <c r="F104" s="24">
        <f>+(E104*100)/D104</f>
        <v>1.7857142857142858</v>
      </c>
      <c r="G104" s="81">
        <v>165</v>
      </c>
      <c r="H104" s="4">
        <f>SUM(J104:R104)</f>
        <v>3</v>
      </c>
      <c r="I104" s="24">
        <f>+(H104*100)/G104</f>
        <v>1.8181818181818181</v>
      </c>
      <c r="J104" s="81">
        <v>0</v>
      </c>
      <c r="K104" s="81">
        <v>0</v>
      </c>
      <c r="L104" s="81">
        <v>0</v>
      </c>
      <c r="M104" s="81">
        <v>3</v>
      </c>
      <c r="N104" s="81">
        <v>0</v>
      </c>
      <c r="O104" s="81">
        <v>0</v>
      </c>
      <c r="P104" s="81">
        <v>0</v>
      </c>
      <c r="Q104" s="81">
        <v>0</v>
      </c>
      <c r="R104" s="81">
        <v>0</v>
      </c>
      <c r="S104" s="81">
        <v>0</v>
      </c>
      <c r="T104" s="81">
        <v>0</v>
      </c>
    </row>
    <row r="105" spans="1:20" s="44" customFormat="1" hidden="1" x14ac:dyDescent="0.5">
      <c r="A105" s="76"/>
      <c r="B105" s="79"/>
      <c r="C105" s="80" t="s">
        <v>34</v>
      </c>
      <c r="D105" s="81">
        <f t="shared" ref="D105:D108" si="75">+G105+H105</f>
        <v>211</v>
      </c>
      <c r="E105" s="4">
        <v>8</v>
      </c>
      <c r="F105" s="24">
        <f t="shared" ref="F105:F109" si="76">+(E105*100)/D105</f>
        <v>3.7914691943127963</v>
      </c>
      <c r="G105" s="81">
        <v>203</v>
      </c>
      <c r="H105" s="4">
        <f t="shared" ref="H105:H108" si="77">SUM(J105:R105)</f>
        <v>8</v>
      </c>
      <c r="I105" s="24">
        <f t="shared" ref="I105:I108" si="78">+(H105*100)/G105</f>
        <v>3.9408866995073892</v>
      </c>
      <c r="J105" s="81">
        <v>0</v>
      </c>
      <c r="K105" s="81">
        <v>0</v>
      </c>
      <c r="L105" s="81">
        <v>0</v>
      </c>
      <c r="M105" s="81">
        <v>8</v>
      </c>
      <c r="N105" s="81">
        <v>0</v>
      </c>
      <c r="O105" s="81">
        <v>0</v>
      </c>
      <c r="P105" s="81">
        <v>0</v>
      </c>
      <c r="Q105" s="81">
        <v>0</v>
      </c>
      <c r="R105" s="81">
        <v>0</v>
      </c>
      <c r="S105" s="81">
        <v>0</v>
      </c>
      <c r="T105" s="81">
        <v>0</v>
      </c>
    </row>
    <row r="106" spans="1:20" s="44" customFormat="1" hidden="1" x14ac:dyDescent="0.5">
      <c r="A106" s="76"/>
      <c r="B106" s="79"/>
      <c r="C106" s="80" t="s">
        <v>35</v>
      </c>
      <c r="D106" s="81">
        <f t="shared" si="75"/>
        <v>205</v>
      </c>
      <c r="E106" s="4">
        <v>10</v>
      </c>
      <c r="F106" s="24">
        <f t="shared" si="76"/>
        <v>4.8780487804878048</v>
      </c>
      <c r="G106" s="81">
        <v>195</v>
      </c>
      <c r="H106" s="4">
        <f t="shared" si="77"/>
        <v>10</v>
      </c>
      <c r="I106" s="24">
        <f t="shared" si="78"/>
        <v>5.1282051282051286</v>
      </c>
      <c r="J106" s="81">
        <v>0</v>
      </c>
      <c r="K106" s="81">
        <v>0</v>
      </c>
      <c r="L106" s="81">
        <v>0</v>
      </c>
      <c r="M106" s="81">
        <v>10</v>
      </c>
      <c r="N106" s="81">
        <v>0</v>
      </c>
      <c r="O106" s="81">
        <v>0</v>
      </c>
      <c r="P106" s="81">
        <v>0</v>
      </c>
      <c r="Q106" s="81">
        <v>0</v>
      </c>
      <c r="R106" s="81">
        <v>0</v>
      </c>
      <c r="S106" s="81">
        <v>0</v>
      </c>
      <c r="T106" s="81">
        <v>0</v>
      </c>
    </row>
    <row r="107" spans="1:20" s="44" customFormat="1" hidden="1" x14ac:dyDescent="0.5">
      <c r="A107" s="76"/>
      <c r="B107" s="79"/>
      <c r="C107" s="80" t="s">
        <v>36</v>
      </c>
      <c r="D107" s="81">
        <f t="shared" si="75"/>
        <v>105</v>
      </c>
      <c r="E107" s="4">
        <v>10</v>
      </c>
      <c r="F107" s="24">
        <f t="shared" si="76"/>
        <v>9.5238095238095237</v>
      </c>
      <c r="G107" s="81">
        <v>95</v>
      </c>
      <c r="H107" s="4">
        <f t="shared" si="77"/>
        <v>10</v>
      </c>
      <c r="I107" s="24">
        <f t="shared" si="78"/>
        <v>10.526315789473685</v>
      </c>
      <c r="J107" s="81">
        <v>0</v>
      </c>
      <c r="K107" s="81">
        <v>0</v>
      </c>
      <c r="L107" s="81">
        <v>0</v>
      </c>
      <c r="M107" s="81">
        <v>10</v>
      </c>
      <c r="N107" s="81">
        <v>0</v>
      </c>
      <c r="O107" s="81">
        <v>0</v>
      </c>
      <c r="P107" s="81">
        <v>0</v>
      </c>
      <c r="Q107" s="81">
        <v>0</v>
      </c>
      <c r="R107" s="81">
        <v>0</v>
      </c>
      <c r="S107" s="81">
        <v>0</v>
      </c>
      <c r="T107" s="81">
        <v>0</v>
      </c>
    </row>
    <row r="108" spans="1:20" s="44" customFormat="1" hidden="1" x14ac:dyDescent="0.5">
      <c r="A108" s="76"/>
      <c r="B108" s="79"/>
      <c r="C108" s="80" t="s">
        <v>37</v>
      </c>
      <c r="D108" s="81">
        <f t="shared" si="75"/>
        <v>52</v>
      </c>
      <c r="E108" s="4">
        <v>8</v>
      </c>
      <c r="F108" s="24">
        <f t="shared" si="76"/>
        <v>15.384615384615385</v>
      </c>
      <c r="G108" s="81">
        <f>27+17</f>
        <v>44</v>
      </c>
      <c r="H108" s="4">
        <f t="shared" si="77"/>
        <v>8</v>
      </c>
      <c r="I108" s="24">
        <f t="shared" si="78"/>
        <v>18.181818181818183</v>
      </c>
      <c r="J108" s="81">
        <v>0</v>
      </c>
      <c r="K108" s="81">
        <v>0</v>
      </c>
      <c r="L108" s="81">
        <v>0</v>
      </c>
      <c r="M108" s="81">
        <f>3+5</f>
        <v>8</v>
      </c>
      <c r="N108" s="81">
        <v>0</v>
      </c>
      <c r="O108" s="81">
        <v>0</v>
      </c>
      <c r="P108" s="81">
        <v>0</v>
      </c>
      <c r="Q108" s="81">
        <v>0</v>
      </c>
      <c r="R108" s="81">
        <v>0</v>
      </c>
      <c r="S108" s="81">
        <v>0</v>
      </c>
      <c r="T108" s="81">
        <v>0</v>
      </c>
    </row>
    <row r="109" spans="1:20" s="44" customFormat="1" hidden="1" x14ac:dyDescent="0.5">
      <c r="A109" s="84"/>
      <c r="B109" s="85" t="s">
        <v>31</v>
      </c>
      <c r="C109" s="86"/>
      <c r="D109" s="77">
        <f>SUM(D110:D114)</f>
        <v>18</v>
      </c>
      <c r="E109" s="77">
        <v>1</v>
      </c>
      <c r="F109" s="78">
        <f t="shared" si="76"/>
        <v>5.5555555555555554</v>
      </c>
      <c r="G109" s="77">
        <f>SUM(G110:G114)</f>
        <v>17</v>
      </c>
      <c r="H109" s="77">
        <f t="shared" ref="H109:T109" si="79">SUM(H110:H114)</f>
        <v>1</v>
      </c>
      <c r="I109" s="78" t="e">
        <f t="shared" si="79"/>
        <v>#DIV/0!</v>
      </c>
      <c r="J109" s="77">
        <f t="shared" si="79"/>
        <v>0</v>
      </c>
      <c r="K109" s="77">
        <f t="shared" si="79"/>
        <v>0</v>
      </c>
      <c r="L109" s="77">
        <f t="shared" si="79"/>
        <v>0</v>
      </c>
      <c r="M109" s="77">
        <f t="shared" si="79"/>
        <v>1</v>
      </c>
      <c r="N109" s="77">
        <f t="shared" si="79"/>
        <v>0</v>
      </c>
      <c r="O109" s="77">
        <f t="shared" si="79"/>
        <v>0</v>
      </c>
      <c r="P109" s="77">
        <f t="shared" si="79"/>
        <v>0</v>
      </c>
      <c r="Q109" s="77">
        <f t="shared" si="79"/>
        <v>0</v>
      </c>
      <c r="R109" s="77">
        <f t="shared" si="79"/>
        <v>0</v>
      </c>
      <c r="S109" s="77">
        <f t="shared" si="79"/>
        <v>0</v>
      </c>
      <c r="T109" s="77">
        <f t="shared" si="79"/>
        <v>0</v>
      </c>
    </row>
    <row r="110" spans="1:20" s="44" customFormat="1" hidden="1" x14ac:dyDescent="0.5">
      <c r="A110" s="76"/>
      <c r="B110" s="79"/>
      <c r="C110" s="80" t="s">
        <v>33</v>
      </c>
      <c r="D110" s="81">
        <f>+G110+H110</f>
        <v>0</v>
      </c>
      <c r="E110" s="4">
        <v>0</v>
      </c>
      <c r="F110" s="24" t="e">
        <f>+(E110*100)/D110</f>
        <v>#DIV/0!</v>
      </c>
      <c r="G110" s="81">
        <v>0</v>
      </c>
      <c r="H110" s="4">
        <v>0</v>
      </c>
      <c r="I110" s="24" t="e">
        <f>+(H110*100)/G110</f>
        <v>#DIV/0!</v>
      </c>
      <c r="J110" s="81">
        <v>0</v>
      </c>
      <c r="K110" s="81">
        <v>0</v>
      </c>
      <c r="L110" s="81">
        <v>0</v>
      </c>
      <c r="M110" s="81">
        <v>0</v>
      </c>
      <c r="N110" s="81">
        <v>0</v>
      </c>
      <c r="O110" s="81">
        <v>0</v>
      </c>
      <c r="P110" s="81">
        <v>0</v>
      </c>
      <c r="Q110" s="81">
        <v>0</v>
      </c>
      <c r="R110" s="81">
        <v>0</v>
      </c>
      <c r="S110" s="81">
        <v>0</v>
      </c>
      <c r="T110" s="81">
        <v>0</v>
      </c>
    </row>
    <row r="111" spans="1:20" s="44" customFormat="1" hidden="1" x14ac:dyDescent="0.5">
      <c r="A111" s="76"/>
      <c r="B111" s="79"/>
      <c r="C111" s="80" t="s">
        <v>34</v>
      </c>
      <c r="D111" s="81">
        <f t="shared" ref="D111:D114" si="80">+G111+H111</f>
        <v>5</v>
      </c>
      <c r="E111" s="4">
        <v>0</v>
      </c>
      <c r="F111" s="24">
        <f t="shared" ref="F111:F127" si="81">+(E111*100)/D111</f>
        <v>0</v>
      </c>
      <c r="G111" s="81">
        <v>5</v>
      </c>
      <c r="H111" s="4">
        <f t="shared" ref="H111:H120" si="82">SUM(J111:R111)</f>
        <v>0</v>
      </c>
      <c r="I111" s="24">
        <f t="shared" ref="I111:I126" si="83">+(H111*100)/G111</f>
        <v>0</v>
      </c>
      <c r="J111" s="81">
        <v>0</v>
      </c>
      <c r="K111" s="81">
        <v>0</v>
      </c>
      <c r="L111" s="81">
        <v>0</v>
      </c>
      <c r="M111" s="81">
        <v>0</v>
      </c>
      <c r="N111" s="81">
        <v>0</v>
      </c>
      <c r="O111" s="81">
        <v>0</v>
      </c>
      <c r="P111" s="81">
        <v>0</v>
      </c>
      <c r="Q111" s="81">
        <v>0</v>
      </c>
      <c r="R111" s="81">
        <v>0</v>
      </c>
      <c r="S111" s="81">
        <v>0</v>
      </c>
      <c r="T111" s="81">
        <v>0</v>
      </c>
    </row>
    <row r="112" spans="1:20" s="44" customFormat="1" hidden="1" x14ac:dyDescent="0.5">
      <c r="A112" s="76"/>
      <c r="B112" s="79"/>
      <c r="C112" s="80" t="s">
        <v>35</v>
      </c>
      <c r="D112" s="81">
        <f t="shared" si="80"/>
        <v>7</v>
      </c>
      <c r="E112" s="4">
        <v>1</v>
      </c>
      <c r="F112" s="24">
        <f t="shared" si="81"/>
        <v>14.285714285714286</v>
      </c>
      <c r="G112" s="81">
        <v>6</v>
      </c>
      <c r="H112" s="4">
        <f t="shared" si="82"/>
        <v>1</v>
      </c>
      <c r="I112" s="24">
        <f t="shared" si="83"/>
        <v>16.666666666666668</v>
      </c>
      <c r="J112" s="81">
        <v>0</v>
      </c>
      <c r="K112" s="81">
        <v>0</v>
      </c>
      <c r="L112" s="81">
        <v>0</v>
      </c>
      <c r="M112" s="81">
        <v>1</v>
      </c>
      <c r="N112" s="81">
        <v>0</v>
      </c>
      <c r="O112" s="81">
        <v>0</v>
      </c>
      <c r="P112" s="81">
        <v>0</v>
      </c>
      <c r="Q112" s="81">
        <v>0</v>
      </c>
      <c r="R112" s="81">
        <v>0</v>
      </c>
      <c r="S112" s="81">
        <v>0</v>
      </c>
      <c r="T112" s="81">
        <v>0</v>
      </c>
    </row>
    <row r="113" spans="1:20" s="44" customFormat="1" hidden="1" x14ac:dyDescent="0.5">
      <c r="A113" s="76"/>
      <c r="B113" s="79"/>
      <c r="C113" s="80" t="s">
        <v>36</v>
      </c>
      <c r="D113" s="81">
        <f t="shared" si="80"/>
        <v>3</v>
      </c>
      <c r="E113" s="4">
        <v>0</v>
      </c>
      <c r="F113" s="24">
        <f t="shared" si="81"/>
        <v>0</v>
      </c>
      <c r="G113" s="81">
        <v>3</v>
      </c>
      <c r="H113" s="4">
        <f t="shared" si="82"/>
        <v>0</v>
      </c>
      <c r="I113" s="24">
        <f t="shared" si="83"/>
        <v>0</v>
      </c>
      <c r="J113" s="81">
        <v>0</v>
      </c>
      <c r="K113" s="81">
        <v>0</v>
      </c>
      <c r="L113" s="81">
        <v>0</v>
      </c>
      <c r="M113" s="81">
        <v>0</v>
      </c>
      <c r="N113" s="81">
        <v>0</v>
      </c>
      <c r="O113" s="81">
        <v>0</v>
      </c>
      <c r="P113" s="81">
        <v>0</v>
      </c>
      <c r="Q113" s="81">
        <v>0</v>
      </c>
      <c r="R113" s="81">
        <v>0</v>
      </c>
      <c r="S113" s="81">
        <v>0</v>
      </c>
      <c r="T113" s="81">
        <v>0</v>
      </c>
    </row>
    <row r="114" spans="1:20" s="44" customFormat="1" hidden="1" x14ac:dyDescent="0.5">
      <c r="A114" s="76"/>
      <c r="B114" s="79"/>
      <c r="C114" s="80" t="s">
        <v>37</v>
      </c>
      <c r="D114" s="81">
        <f t="shared" si="80"/>
        <v>3</v>
      </c>
      <c r="E114" s="4">
        <v>0</v>
      </c>
      <c r="F114" s="24">
        <f t="shared" si="81"/>
        <v>0</v>
      </c>
      <c r="G114" s="81">
        <v>3</v>
      </c>
      <c r="H114" s="4">
        <f t="shared" si="82"/>
        <v>0</v>
      </c>
      <c r="I114" s="24">
        <f t="shared" si="83"/>
        <v>0</v>
      </c>
      <c r="J114" s="81">
        <v>0</v>
      </c>
      <c r="K114" s="81">
        <v>0</v>
      </c>
      <c r="L114" s="81">
        <v>0</v>
      </c>
      <c r="M114" s="81">
        <v>0</v>
      </c>
      <c r="N114" s="81">
        <v>0</v>
      </c>
      <c r="O114" s="81">
        <v>0</v>
      </c>
      <c r="P114" s="81">
        <v>0</v>
      </c>
      <c r="Q114" s="81">
        <v>0</v>
      </c>
      <c r="R114" s="81">
        <v>0</v>
      </c>
      <c r="S114" s="81">
        <v>0</v>
      </c>
      <c r="T114" s="81">
        <v>0</v>
      </c>
    </row>
    <row r="115" spans="1:20" s="45" customFormat="1" x14ac:dyDescent="0.5">
      <c r="A115" s="21"/>
      <c r="B115" s="22" t="s">
        <v>26</v>
      </c>
      <c r="C115" s="22"/>
      <c r="D115" s="4">
        <f>+D60</f>
        <v>22193</v>
      </c>
      <c r="E115" s="4">
        <f>SUM(K115:T115)</f>
        <v>3231</v>
      </c>
      <c r="F115" s="23">
        <f t="shared" si="81"/>
        <v>14.55864461767224</v>
      </c>
      <c r="G115" s="4">
        <f>+G79</f>
        <v>26055</v>
      </c>
      <c r="H115" s="4">
        <f t="shared" si="82"/>
        <v>3231</v>
      </c>
      <c r="I115" s="24">
        <f t="shared" si="83"/>
        <v>12.400690846286702</v>
      </c>
      <c r="J115" s="4">
        <f t="shared" ref="J115" si="84">+J79</f>
        <v>0</v>
      </c>
      <c r="K115" s="4">
        <f>+K43+K60</f>
        <v>0</v>
      </c>
      <c r="L115" s="4">
        <f>+L43+L60</f>
        <v>539</v>
      </c>
      <c r="M115" s="4">
        <f>+M43+M60</f>
        <v>1511</v>
      </c>
      <c r="N115" s="4">
        <f>+N43+N60</f>
        <v>968</v>
      </c>
      <c r="O115" s="4">
        <f>+O43+O60</f>
        <v>68</v>
      </c>
      <c r="P115" s="4">
        <f>+P43+P60</f>
        <v>142</v>
      </c>
      <c r="Q115" s="4">
        <f>+Q43+Q60</f>
        <v>3</v>
      </c>
      <c r="R115" s="4">
        <f>+R43+R60</f>
        <v>0</v>
      </c>
      <c r="S115" s="4">
        <f>+S43+S60</f>
        <v>0</v>
      </c>
      <c r="T115" s="4">
        <f>+T43+T60</f>
        <v>0</v>
      </c>
    </row>
    <row r="116" spans="1:20" s="45" customFormat="1" x14ac:dyDescent="0.5">
      <c r="A116" s="21"/>
      <c r="B116" s="22" t="s">
        <v>27</v>
      </c>
      <c r="C116" s="22"/>
      <c r="D116" s="4">
        <f>+D61</f>
        <v>6171</v>
      </c>
      <c r="E116" s="4">
        <f t="shared" ref="E116:E120" si="85">SUM(K116:T116)</f>
        <v>810</v>
      </c>
      <c r="F116" s="23">
        <f t="shared" si="81"/>
        <v>13.125911521633446</v>
      </c>
      <c r="G116" s="4">
        <f>+G85</f>
        <v>6919</v>
      </c>
      <c r="H116" s="4">
        <f t="shared" si="82"/>
        <v>810</v>
      </c>
      <c r="I116" s="24">
        <f t="shared" si="83"/>
        <v>11.706894059835236</v>
      </c>
      <c r="J116" s="4">
        <f t="shared" ref="J116" si="86">+J85</f>
        <v>0</v>
      </c>
      <c r="K116" s="4">
        <f>+K44+K61</f>
        <v>0</v>
      </c>
      <c r="L116" s="4">
        <f>+L44+L61</f>
        <v>369</v>
      </c>
      <c r="M116" s="4">
        <f>+M44+M61</f>
        <v>100</v>
      </c>
      <c r="N116" s="4">
        <f>+N44+N61</f>
        <v>272</v>
      </c>
      <c r="O116" s="4">
        <f>+O44+O61</f>
        <v>17</v>
      </c>
      <c r="P116" s="4">
        <f>+P44+P61</f>
        <v>52</v>
      </c>
      <c r="Q116" s="4">
        <f>+Q44+Q61</f>
        <v>0</v>
      </c>
      <c r="R116" s="4">
        <f>+R44+R61</f>
        <v>0</v>
      </c>
      <c r="S116" s="4">
        <f>+S44+S61</f>
        <v>0</v>
      </c>
      <c r="T116" s="4">
        <f>+T44+T61</f>
        <v>0</v>
      </c>
    </row>
    <row r="117" spans="1:20" s="45" customFormat="1" x14ac:dyDescent="0.5">
      <c r="A117" s="21"/>
      <c r="B117" s="22" t="s">
        <v>28</v>
      </c>
      <c r="C117" s="22"/>
      <c r="D117" s="4">
        <f>+D62</f>
        <v>541</v>
      </c>
      <c r="E117" s="4">
        <f t="shared" si="85"/>
        <v>126</v>
      </c>
      <c r="F117" s="23">
        <f t="shared" si="81"/>
        <v>23.290203327171906</v>
      </c>
      <c r="G117" s="4">
        <f>+G91</f>
        <v>565</v>
      </c>
      <c r="H117" s="4">
        <f t="shared" si="82"/>
        <v>126</v>
      </c>
      <c r="I117" s="24">
        <f t="shared" si="83"/>
        <v>22.300884955752213</v>
      </c>
      <c r="J117" s="4">
        <f t="shared" ref="J117" si="87">+J91</f>
        <v>0</v>
      </c>
      <c r="K117" s="4">
        <f>+K45+K62</f>
        <v>26</v>
      </c>
      <c r="L117" s="4">
        <f>+L45+L62</f>
        <v>0</v>
      </c>
      <c r="M117" s="4">
        <f>+M45+M62</f>
        <v>82</v>
      </c>
      <c r="N117" s="4">
        <f>+N45+N62</f>
        <v>3</v>
      </c>
      <c r="O117" s="4">
        <f>+O45+O62</f>
        <v>4</v>
      </c>
      <c r="P117" s="4">
        <f>+P45+P62</f>
        <v>0</v>
      </c>
      <c r="Q117" s="4">
        <f>+Q45+Q62</f>
        <v>0</v>
      </c>
      <c r="R117" s="4">
        <f>+R45+R62</f>
        <v>11</v>
      </c>
      <c r="S117" s="4">
        <f>+S45+S62</f>
        <v>0</v>
      </c>
      <c r="T117" s="4">
        <f>+T45+T62</f>
        <v>0</v>
      </c>
    </row>
    <row r="118" spans="1:20" s="45" customFormat="1" x14ac:dyDescent="0.5">
      <c r="A118" s="21"/>
      <c r="B118" s="22" t="s">
        <v>29</v>
      </c>
      <c r="C118" s="22"/>
      <c r="D118" s="4">
        <f>+D63</f>
        <v>2023</v>
      </c>
      <c r="E118" s="4">
        <f t="shared" si="85"/>
        <v>644</v>
      </c>
      <c r="F118" s="23">
        <f t="shared" si="81"/>
        <v>31.833910034602077</v>
      </c>
      <c r="G118" s="4">
        <f>+G97</f>
        <v>1872</v>
      </c>
      <c r="H118" s="4">
        <f t="shared" si="82"/>
        <v>644</v>
      </c>
      <c r="I118" s="24">
        <f t="shared" si="83"/>
        <v>34.401709401709404</v>
      </c>
      <c r="J118" s="4">
        <f t="shared" ref="J118" si="88">+J97</f>
        <v>0</v>
      </c>
      <c r="K118" s="4">
        <f>+K46+K63</f>
        <v>74</v>
      </c>
      <c r="L118" s="4">
        <f>+L46+L63</f>
        <v>0</v>
      </c>
      <c r="M118" s="4">
        <f>+M46+M63</f>
        <v>554</v>
      </c>
      <c r="N118" s="4">
        <f>+N46+N63</f>
        <v>0</v>
      </c>
      <c r="O118" s="4">
        <f>+O46+O63</f>
        <v>6</v>
      </c>
      <c r="P118" s="4">
        <f>+P46+P63</f>
        <v>0</v>
      </c>
      <c r="Q118" s="4">
        <f>+Q46+Q63</f>
        <v>0</v>
      </c>
      <c r="R118" s="4">
        <f>+R46+R63</f>
        <v>10</v>
      </c>
      <c r="S118" s="4">
        <f>+S46+S63</f>
        <v>0</v>
      </c>
      <c r="T118" s="4">
        <f>+T46+T63</f>
        <v>0</v>
      </c>
    </row>
    <row r="119" spans="1:20" s="45" customFormat="1" x14ac:dyDescent="0.5">
      <c r="A119" s="21"/>
      <c r="B119" s="22" t="s">
        <v>30</v>
      </c>
      <c r="C119" s="22"/>
      <c r="D119" s="4">
        <f>+D64</f>
        <v>725</v>
      </c>
      <c r="E119" s="4">
        <f t="shared" si="85"/>
        <v>72</v>
      </c>
      <c r="F119" s="23">
        <f t="shared" si="81"/>
        <v>9.931034482758621</v>
      </c>
      <c r="G119" s="4">
        <f>+G103</f>
        <v>702</v>
      </c>
      <c r="H119" s="4">
        <f t="shared" si="82"/>
        <v>72</v>
      </c>
      <c r="I119" s="24">
        <f t="shared" si="83"/>
        <v>10.256410256410257</v>
      </c>
      <c r="J119" s="4">
        <f t="shared" ref="J119" si="89">+J103</f>
        <v>0</v>
      </c>
      <c r="K119" s="4">
        <f>+K47+K64</f>
        <v>0</v>
      </c>
      <c r="L119" s="4">
        <f>+L47+L64</f>
        <v>0</v>
      </c>
      <c r="M119" s="4">
        <f>+M47+M64</f>
        <v>72</v>
      </c>
      <c r="N119" s="4">
        <f>+N47+N64</f>
        <v>0</v>
      </c>
      <c r="O119" s="4">
        <f>+O47+O64</f>
        <v>0</v>
      </c>
      <c r="P119" s="4">
        <f>+P47+P64</f>
        <v>0</v>
      </c>
      <c r="Q119" s="4">
        <f>+Q47+Q64</f>
        <v>0</v>
      </c>
      <c r="R119" s="4">
        <f>+R47+R64</f>
        <v>0</v>
      </c>
      <c r="S119" s="4">
        <f>+S47+S64</f>
        <v>0</v>
      </c>
      <c r="T119" s="4">
        <f>+T47+T64</f>
        <v>0</v>
      </c>
    </row>
    <row r="120" spans="1:20" s="45" customFormat="1" x14ac:dyDescent="0.5">
      <c r="A120" s="25"/>
      <c r="B120" s="26" t="s">
        <v>31</v>
      </c>
      <c r="C120" s="26"/>
      <c r="D120" s="4">
        <f>+D65</f>
        <v>14</v>
      </c>
      <c r="E120" s="4">
        <f t="shared" si="85"/>
        <v>2</v>
      </c>
      <c r="F120" s="27">
        <f t="shared" si="81"/>
        <v>14.285714285714286</v>
      </c>
      <c r="G120" s="4">
        <f>+G109</f>
        <v>17</v>
      </c>
      <c r="H120" s="3">
        <f t="shared" si="82"/>
        <v>2</v>
      </c>
      <c r="I120" s="28">
        <f t="shared" si="83"/>
        <v>11.764705882352942</v>
      </c>
      <c r="J120" s="3">
        <f t="shared" ref="J120" si="90">+J109</f>
        <v>0</v>
      </c>
      <c r="K120" s="4">
        <f>+K48+K65</f>
        <v>0</v>
      </c>
      <c r="L120" s="4">
        <f>+L48+L65</f>
        <v>0</v>
      </c>
      <c r="M120" s="4">
        <f>+M48+M65</f>
        <v>2</v>
      </c>
      <c r="N120" s="4">
        <f>+N48+N65</f>
        <v>0</v>
      </c>
      <c r="O120" s="4">
        <f>+O48+O65</f>
        <v>0</v>
      </c>
      <c r="P120" s="4">
        <f>+P48+P65</f>
        <v>0</v>
      </c>
      <c r="Q120" s="4">
        <f>+Q48+Q65</f>
        <v>0</v>
      </c>
      <c r="R120" s="4">
        <f>+R48+R65</f>
        <v>0</v>
      </c>
      <c r="S120" s="4">
        <f>+S48+S65</f>
        <v>0</v>
      </c>
      <c r="T120" s="4">
        <f>+T48+T65</f>
        <v>0</v>
      </c>
    </row>
    <row r="121" spans="1:20" s="79" customFormat="1" x14ac:dyDescent="0.5">
      <c r="A121" s="29"/>
      <c r="B121" s="29" t="s">
        <v>32</v>
      </c>
      <c r="C121" s="30"/>
      <c r="D121" s="20">
        <f>SUM(D115:D120)</f>
        <v>31667</v>
      </c>
      <c r="E121" s="20">
        <f t="shared" ref="E121:T121" si="91">SUM(E115:E120)</f>
        <v>4885</v>
      </c>
      <c r="F121" s="31">
        <f t="shared" si="81"/>
        <v>15.426153408911485</v>
      </c>
      <c r="G121" s="20">
        <f t="shared" si="91"/>
        <v>36130</v>
      </c>
      <c r="H121" s="20">
        <f t="shared" si="91"/>
        <v>4885</v>
      </c>
      <c r="I121" s="20">
        <f t="shared" si="91"/>
        <v>102.83129540234677</v>
      </c>
      <c r="J121" s="20">
        <f t="shared" si="91"/>
        <v>0</v>
      </c>
      <c r="K121" s="20">
        <f t="shared" si="91"/>
        <v>100</v>
      </c>
      <c r="L121" s="20">
        <f t="shared" si="91"/>
        <v>908</v>
      </c>
      <c r="M121" s="20">
        <f t="shared" si="91"/>
        <v>2321</v>
      </c>
      <c r="N121" s="20">
        <f t="shared" si="91"/>
        <v>1243</v>
      </c>
      <c r="O121" s="20">
        <f t="shared" si="91"/>
        <v>95</v>
      </c>
      <c r="P121" s="20">
        <f t="shared" si="91"/>
        <v>194</v>
      </c>
      <c r="Q121" s="20">
        <f t="shared" si="91"/>
        <v>3</v>
      </c>
      <c r="R121" s="20">
        <f t="shared" si="91"/>
        <v>21</v>
      </c>
      <c r="S121" s="20">
        <f t="shared" si="91"/>
        <v>0</v>
      </c>
      <c r="T121" s="20">
        <f t="shared" si="91"/>
        <v>0</v>
      </c>
    </row>
    <row r="122" spans="1:20" s="45" customFormat="1" x14ac:dyDescent="0.5">
      <c r="A122" s="32"/>
      <c r="B122" s="33" t="s">
        <v>33</v>
      </c>
      <c r="C122" s="33"/>
      <c r="D122" s="34">
        <f>+D67</f>
        <v>12383</v>
      </c>
      <c r="E122" s="34">
        <f>SUM(K122:T122)</f>
        <v>3010</v>
      </c>
      <c r="F122" s="23">
        <f t="shared" si="81"/>
        <v>24.30751837196156</v>
      </c>
      <c r="G122" s="35">
        <f>+G80+G86+G92+G98+G104+G110</f>
        <v>12250</v>
      </c>
      <c r="H122" s="35">
        <f t="shared" ref="H122" si="92">+H80+H86+H92+H98+H104+H110</f>
        <v>1795</v>
      </c>
      <c r="I122" s="36">
        <f t="shared" si="83"/>
        <v>14.653061224489797</v>
      </c>
      <c r="J122" s="35">
        <f t="shared" ref="J122:J126" si="93">+J80+J86+J92+J98+J104+J110</f>
        <v>0</v>
      </c>
      <c r="K122" s="4">
        <f>+K50+K67</f>
        <v>52</v>
      </c>
      <c r="L122" s="4">
        <f>+L50+L67</f>
        <v>203</v>
      </c>
      <c r="M122" s="4">
        <f>+M50+M67</f>
        <v>1618</v>
      </c>
      <c r="N122" s="4">
        <f>+N50+N67</f>
        <v>1127</v>
      </c>
      <c r="O122" s="4">
        <f>+O50+O67</f>
        <v>2</v>
      </c>
      <c r="P122" s="4">
        <f>+P50+P67</f>
        <v>8</v>
      </c>
      <c r="Q122" s="4">
        <f>+Q50+Q67</f>
        <v>0</v>
      </c>
      <c r="R122" s="4">
        <f>+R50+R67</f>
        <v>0</v>
      </c>
      <c r="S122" s="4">
        <f>+S50+S67</f>
        <v>0</v>
      </c>
      <c r="T122" s="4">
        <f>+T50+T67</f>
        <v>0</v>
      </c>
    </row>
    <row r="123" spans="1:20" s="45" customFormat="1" x14ac:dyDescent="0.5">
      <c r="A123" s="21"/>
      <c r="B123" s="37" t="s">
        <v>34</v>
      </c>
      <c r="C123" s="37"/>
      <c r="D123" s="34">
        <f>+D68</f>
        <v>9122</v>
      </c>
      <c r="E123" s="34">
        <f t="shared" ref="E123:E126" si="94">SUM(K123:T123)</f>
        <v>798</v>
      </c>
      <c r="F123" s="23">
        <f t="shared" si="81"/>
        <v>8.74808156106117</v>
      </c>
      <c r="G123" s="38">
        <f t="shared" ref="G123:H126" si="95">+G81+G87+G93+G99+G105+G111</f>
        <v>9251</v>
      </c>
      <c r="H123" s="38">
        <f t="shared" si="95"/>
        <v>511</v>
      </c>
      <c r="I123" s="39">
        <f t="shared" si="83"/>
        <v>5.5237271646308503</v>
      </c>
      <c r="J123" s="38">
        <f t="shared" si="93"/>
        <v>0</v>
      </c>
      <c r="K123" s="4">
        <f>+K51+K68</f>
        <v>42</v>
      </c>
      <c r="L123" s="4">
        <f>+L51+L68</f>
        <v>346</v>
      </c>
      <c r="M123" s="4">
        <f>+M51+M68</f>
        <v>207</v>
      </c>
      <c r="N123" s="4">
        <f>+N51+N68</f>
        <v>83</v>
      </c>
      <c r="O123" s="4">
        <f>+O51+O68</f>
        <v>63</v>
      </c>
      <c r="P123" s="4">
        <f>+P51+P68</f>
        <v>57</v>
      </c>
      <c r="Q123" s="4">
        <f>+Q51+Q68</f>
        <v>0</v>
      </c>
      <c r="R123" s="4">
        <f>+R51+R68</f>
        <v>0</v>
      </c>
      <c r="S123" s="4">
        <f>+S51+S68</f>
        <v>0</v>
      </c>
      <c r="T123" s="4">
        <f>+T51+T68</f>
        <v>0</v>
      </c>
    </row>
    <row r="124" spans="1:20" s="45" customFormat="1" x14ac:dyDescent="0.5">
      <c r="A124" s="21"/>
      <c r="B124" s="37" t="s">
        <v>35</v>
      </c>
      <c r="C124" s="37"/>
      <c r="D124" s="34">
        <f>+D69</f>
        <v>6708</v>
      </c>
      <c r="E124" s="34">
        <f t="shared" si="94"/>
        <v>478</v>
      </c>
      <c r="F124" s="23">
        <f t="shared" si="81"/>
        <v>7.1258199165175906</v>
      </c>
      <c r="G124" s="38">
        <f t="shared" si="95"/>
        <v>7601</v>
      </c>
      <c r="H124" s="38">
        <f t="shared" si="95"/>
        <v>274</v>
      </c>
      <c r="I124" s="39">
        <f t="shared" si="83"/>
        <v>3.6047888435732141</v>
      </c>
      <c r="J124" s="38">
        <f t="shared" si="93"/>
        <v>0</v>
      </c>
      <c r="K124" s="4">
        <f>+K52+K69</f>
        <v>2</v>
      </c>
      <c r="L124" s="4">
        <f>+L52+L69</f>
        <v>138</v>
      </c>
      <c r="M124" s="4">
        <f>+M52+M69</f>
        <v>214</v>
      </c>
      <c r="N124" s="4">
        <f>+N52+N69</f>
        <v>23</v>
      </c>
      <c r="O124" s="4">
        <f>+O52+O69</f>
        <v>25</v>
      </c>
      <c r="P124" s="4">
        <f>+P52+P69</f>
        <v>76</v>
      </c>
      <c r="Q124" s="4">
        <f>+Q52+Q69</f>
        <v>0</v>
      </c>
      <c r="R124" s="4">
        <f>+R52+R69</f>
        <v>0</v>
      </c>
      <c r="S124" s="4">
        <f>+S52+S69</f>
        <v>0</v>
      </c>
      <c r="T124" s="4">
        <f>+T52+T69</f>
        <v>0</v>
      </c>
    </row>
    <row r="125" spans="1:20" s="45" customFormat="1" x14ac:dyDescent="0.5">
      <c r="A125" s="21"/>
      <c r="B125" s="37" t="s">
        <v>36</v>
      </c>
      <c r="C125" s="37"/>
      <c r="D125" s="34">
        <f>+D70</f>
        <v>2390</v>
      </c>
      <c r="E125" s="34">
        <f t="shared" si="94"/>
        <v>305</v>
      </c>
      <c r="F125" s="23">
        <f t="shared" si="81"/>
        <v>12.761506276150628</v>
      </c>
      <c r="G125" s="38">
        <f t="shared" si="95"/>
        <v>5092</v>
      </c>
      <c r="H125" s="38">
        <f t="shared" si="95"/>
        <v>157</v>
      </c>
      <c r="I125" s="39">
        <f t="shared" si="83"/>
        <v>3.0832678711704635</v>
      </c>
      <c r="J125" s="38">
        <f t="shared" si="93"/>
        <v>0</v>
      </c>
      <c r="K125" s="4">
        <f>+K53+K70</f>
        <v>4</v>
      </c>
      <c r="L125" s="4">
        <f>+L53+L70</f>
        <v>74</v>
      </c>
      <c r="M125" s="4">
        <f>+M53+M70</f>
        <v>190</v>
      </c>
      <c r="N125" s="4">
        <f>+N53+N70</f>
        <v>6</v>
      </c>
      <c r="O125" s="4">
        <f>+O53+O70</f>
        <v>3</v>
      </c>
      <c r="P125" s="4">
        <f>+P53+P70</f>
        <v>28</v>
      </c>
      <c r="Q125" s="4">
        <f>+Q53+Q70</f>
        <v>0</v>
      </c>
      <c r="R125" s="4">
        <f>+R53+R70</f>
        <v>0</v>
      </c>
      <c r="S125" s="4">
        <f>+S53+S70</f>
        <v>0</v>
      </c>
      <c r="T125" s="4">
        <f>+T53+T70</f>
        <v>0</v>
      </c>
    </row>
    <row r="126" spans="1:20" s="45" customFormat="1" x14ac:dyDescent="0.5">
      <c r="A126" s="25"/>
      <c r="B126" s="40" t="s">
        <v>37</v>
      </c>
      <c r="C126" s="40"/>
      <c r="D126" s="34">
        <f>+D71</f>
        <v>1064</v>
      </c>
      <c r="E126" s="34">
        <f t="shared" si="94"/>
        <v>294</v>
      </c>
      <c r="F126" s="27">
        <f t="shared" si="81"/>
        <v>27.631578947368421</v>
      </c>
      <c r="G126" s="41">
        <f t="shared" si="95"/>
        <v>1936</v>
      </c>
      <c r="H126" s="41">
        <f t="shared" si="95"/>
        <v>196</v>
      </c>
      <c r="I126" s="42">
        <f t="shared" si="83"/>
        <v>10.12396694214876</v>
      </c>
      <c r="J126" s="41">
        <f t="shared" si="93"/>
        <v>0</v>
      </c>
      <c r="K126" s="4">
        <f>+K54+K71</f>
        <v>0</v>
      </c>
      <c r="L126" s="4">
        <f>+L54+L71</f>
        <v>147</v>
      </c>
      <c r="M126" s="4">
        <f>+M54+M71</f>
        <v>92</v>
      </c>
      <c r="N126" s="4">
        <f>+N54+N71</f>
        <v>4</v>
      </c>
      <c r="O126" s="4">
        <f>+O54+O71</f>
        <v>2</v>
      </c>
      <c r="P126" s="4">
        <f>+P54+P71</f>
        <v>25</v>
      </c>
      <c r="Q126" s="4">
        <f>+Q54+Q71</f>
        <v>3</v>
      </c>
      <c r="R126" s="4">
        <f>+R54+R71</f>
        <v>21</v>
      </c>
      <c r="S126" s="4">
        <f>+S54+S71</f>
        <v>0</v>
      </c>
      <c r="T126" s="4">
        <f>+T54+T71</f>
        <v>0</v>
      </c>
    </row>
    <row r="127" spans="1:20" s="79" customFormat="1" x14ac:dyDescent="0.5">
      <c r="A127" s="29"/>
      <c r="B127" s="29" t="s">
        <v>32</v>
      </c>
      <c r="C127" s="43"/>
      <c r="D127" s="20">
        <f>SUM(D122:D126)</f>
        <v>31667</v>
      </c>
      <c r="E127" s="20">
        <f t="shared" ref="E127:T127" si="96">SUM(E122:E126)</f>
        <v>4885</v>
      </c>
      <c r="F127" s="31">
        <f t="shared" si="81"/>
        <v>15.426153408911485</v>
      </c>
      <c r="G127" s="20">
        <f t="shared" si="96"/>
        <v>36130</v>
      </c>
      <c r="H127" s="20">
        <f t="shared" si="96"/>
        <v>2933</v>
      </c>
      <c r="I127" s="20">
        <f t="shared" si="96"/>
        <v>36.988812046013081</v>
      </c>
      <c r="J127" s="20">
        <f t="shared" si="96"/>
        <v>0</v>
      </c>
      <c r="K127" s="20">
        <f t="shared" si="96"/>
        <v>100</v>
      </c>
      <c r="L127" s="20">
        <f t="shared" si="96"/>
        <v>908</v>
      </c>
      <c r="M127" s="20">
        <f t="shared" si="96"/>
        <v>2321</v>
      </c>
      <c r="N127" s="20">
        <f t="shared" si="96"/>
        <v>1243</v>
      </c>
      <c r="O127" s="20">
        <f t="shared" si="96"/>
        <v>95</v>
      </c>
      <c r="P127" s="20">
        <f t="shared" si="96"/>
        <v>194</v>
      </c>
      <c r="Q127" s="20">
        <f t="shared" si="96"/>
        <v>3</v>
      </c>
      <c r="R127" s="20">
        <f t="shared" si="96"/>
        <v>21</v>
      </c>
      <c r="S127" s="20">
        <f t="shared" si="96"/>
        <v>0</v>
      </c>
      <c r="T127" s="20">
        <f t="shared" si="96"/>
        <v>0</v>
      </c>
    </row>
    <row r="128" spans="1:20" s="410" customFormat="1" ht="27.75" x14ac:dyDescent="0.65">
      <c r="A128" s="409"/>
      <c r="C128" s="411" t="s">
        <v>48</v>
      </c>
      <c r="M128" s="412"/>
    </row>
    <row r="129" spans="2:20" s="410" customFormat="1" ht="27.75" x14ac:dyDescent="0.65">
      <c r="B129" s="409"/>
      <c r="C129" s="413" t="s">
        <v>6</v>
      </c>
      <c r="D129" s="414" t="s">
        <v>49</v>
      </c>
    </row>
    <row r="130" spans="2:20" s="415" customFormat="1" ht="27.75" x14ac:dyDescent="0.65">
      <c r="C130" s="413" t="s">
        <v>7</v>
      </c>
      <c r="D130" s="98" t="s">
        <v>50</v>
      </c>
      <c r="F130" s="417"/>
      <c r="G130" s="417"/>
      <c r="H130" s="417"/>
      <c r="I130" s="417"/>
      <c r="J130" s="417"/>
      <c r="K130" s="417"/>
      <c r="L130" s="417"/>
      <c r="M130" s="417"/>
      <c r="N130" s="417"/>
      <c r="O130" s="417"/>
      <c r="P130" s="417"/>
      <c r="Q130" s="417"/>
      <c r="R130" s="417"/>
      <c r="S130" s="417"/>
      <c r="T130" s="417"/>
    </row>
    <row r="131" spans="2:20" s="415" customFormat="1" ht="27.75" x14ac:dyDescent="0.65">
      <c r="C131" s="413" t="s">
        <v>8</v>
      </c>
      <c r="D131" s="416" t="s">
        <v>51</v>
      </c>
      <c r="F131" s="417"/>
      <c r="G131" s="417"/>
      <c r="H131" s="417"/>
      <c r="I131" s="417"/>
      <c r="J131" s="417"/>
      <c r="K131" s="417"/>
      <c r="L131" s="417"/>
      <c r="M131" s="417"/>
      <c r="N131" s="417"/>
      <c r="O131" s="417"/>
      <c r="P131" s="417"/>
      <c r="Q131" s="417"/>
      <c r="R131" s="417"/>
      <c r="S131" s="417"/>
      <c r="T131" s="417"/>
    </row>
    <row r="132" spans="2:20" s="415" customFormat="1" ht="27.75" x14ac:dyDescent="0.65">
      <c r="C132" s="413" t="s">
        <v>9</v>
      </c>
      <c r="D132" s="416" t="s">
        <v>52</v>
      </c>
      <c r="F132" s="417"/>
      <c r="G132" s="417"/>
      <c r="H132" s="417"/>
      <c r="I132" s="417"/>
      <c r="J132" s="417"/>
      <c r="K132" s="417"/>
      <c r="L132" s="417"/>
      <c r="M132" s="417"/>
      <c r="N132" s="417"/>
      <c r="O132" s="417"/>
      <c r="P132" s="417"/>
      <c r="Q132" s="417"/>
      <c r="R132" s="417"/>
      <c r="S132" s="417"/>
      <c r="T132" s="417"/>
    </row>
    <row r="133" spans="2:20" s="415" customFormat="1" ht="27.75" x14ac:dyDescent="0.65">
      <c r="C133" s="413" t="s">
        <v>10</v>
      </c>
      <c r="D133" s="416" t="s">
        <v>53</v>
      </c>
      <c r="F133" s="417"/>
      <c r="G133" s="417"/>
      <c r="H133" s="417"/>
      <c r="I133" s="417"/>
      <c r="J133" s="417"/>
      <c r="K133" s="417"/>
      <c r="L133" s="417"/>
      <c r="M133" s="417"/>
      <c r="N133" s="417"/>
      <c r="O133" s="417"/>
      <c r="P133" s="417"/>
      <c r="Q133" s="417"/>
      <c r="R133" s="417"/>
      <c r="S133" s="417"/>
      <c r="T133" s="417"/>
    </row>
    <row r="134" spans="2:20" s="415" customFormat="1" ht="27.75" x14ac:dyDescent="0.65">
      <c r="C134" s="413" t="s">
        <v>11</v>
      </c>
      <c r="D134" s="416" t="s">
        <v>54</v>
      </c>
      <c r="F134" s="417"/>
      <c r="G134" s="417"/>
      <c r="H134" s="417"/>
      <c r="I134" s="417"/>
      <c r="J134" s="417"/>
      <c r="K134" s="417"/>
      <c r="L134" s="417"/>
      <c r="M134" s="417"/>
      <c r="N134" s="417"/>
      <c r="O134" s="417"/>
      <c r="P134" s="417"/>
      <c r="Q134" s="417"/>
      <c r="R134" s="417"/>
      <c r="S134" s="417"/>
      <c r="T134" s="417"/>
    </row>
    <row r="135" spans="2:20" s="415" customFormat="1" ht="27.75" x14ac:dyDescent="0.65">
      <c r="C135" s="413" t="s">
        <v>12</v>
      </c>
      <c r="D135" s="416" t="s">
        <v>55</v>
      </c>
      <c r="F135" s="417"/>
      <c r="G135" s="417"/>
      <c r="H135" s="417"/>
      <c r="I135" s="417"/>
      <c r="J135" s="417"/>
      <c r="K135" s="417"/>
      <c r="L135" s="417"/>
      <c r="M135" s="417"/>
      <c r="N135" s="417"/>
      <c r="O135" s="417"/>
      <c r="P135" s="417"/>
      <c r="Q135" s="417"/>
      <c r="R135" s="417"/>
      <c r="S135" s="417"/>
      <c r="T135" s="417"/>
    </row>
    <row r="136" spans="2:20" s="415" customFormat="1" ht="27.75" x14ac:dyDescent="0.65">
      <c r="C136" s="413" t="s">
        <v>13</v>
      </c>
      <c r="D136" s="416" t="s">
        <v>56</v>
      </c>
      <c r="F136" s="417"/>
      <c r="G136" s="417"/>
      <c r="H136" s="417"/>
      <c r="I136" s="417"/>
      <c r="J136" s="417"/>
      <c r="K136" s="417"/>
      <c r="L136" s="417"/>
      <c r="M136" s="417"/>
      <c r="N136" s="417"/>
      <c r="O136" s="417"/>
      <c r="P136" s="417"/>
      <c r="Q136" s="417"/>
      <c r="R136" s="417"/>
      <c r="S136" s="417"/>
      <c r="T136" s="417"/>
    </row>
    <row r="137" spans="2:20" s="415" customFormat="1" ht="27.75" x14ac:dyDescent="0.65">
      <c r="C137" s="413" t="s">
        <v>14</v>
      </c>
      <c r="D137" s="416" t="s">
        <v>57</v>
      </c>
      <c r="F137" s="417"/>
      <c r="G137" s="417"/>
      <c r="H137" s="417"/>
      <c r="I137" s="417"/>
      <c r="J137" s="417"/>
      <c r="K137" s="417"/>
      <c r="L137" s="417"/>
      <c r="M137" s="417"/>
      <c r="N137" s="417"/>
      <c r="O137" s="417"/>
      <c r="P137" s="417"/>
      <c r="Q137" s="417"/>
      <c r="R137" s="417"/>
      <c r="S137" s="417"/>
      <c r="T137" s="417"/>
    </row>
    <row r="138" spans="2:20" s="415" customFormat="1" ht="27.75" x14ac:dyDescent="0.65">
      <c r="C138" s="413"/>
      <c r="D138" s="418" t="s">
        <v>58</v>
      </c>
      <c r="F138" s="417"/>
      <c r="G138" s="417"/>
      <c r="H138" s="417"/>
      <c r="I138" s="417"/>
      <c r="J138" s="417"/>
      <c r="K138" s="417"/>
      <c r="L138" s="417"/>
      <c r="M138" s="417"/>
      <c r="N138" s="417"/>
      <c r="O138" s="417"/>
      <c r="P138" s="417"/>
      <c r="Q138" s="417"/>
      <c r="R138" s="417"/>
      <c r="S138" s="417"/>
      <c r="T138" s="417"/>
    </row>
    <row r="139" spans="2:20" s="415" customFormat="1" ht="27.75" x14ac:dyDescent="0.65">
      <c r="C139" s="419" t="s">
        <v>59</v>
      </c>
      <c r="F139" s="417"/>
      <c r="G139" s="417"/>
      <c r="H139" s="417"/>
      <c r="I139" s="417"/>
      <c r="J139" s="417"/>
      <c r="K139" s="417"/>
      <c r="L139" s="417"/>
      <c r="M139" s="417"/>
      <c r="N139" s="417"/>
      <c r="O139" s="417"/>
      <c r="P139" s="417"/>
      <c r="Q139" s="417"/>
      <c r="R139" s="417"/>
      <c r="S139" s="417"/>
      <c r="T139" s="417"/>
    </row>
    <row r="140" spans="2:20" s="415" customFormat="1" ht="27.75" x14ac:dyDescent="0.65">
      <c r="C140" s="420" t="s">
        <v>17</v>
      </c>
      <c r="D140" s="415" t="s">
        <v>60</v>
      </c>
      <c r="E140" s="417"/>
      <c r="F140" s="417"/>
      <c r="G140" s="417"/>
      <c r="H140" s="417"/>
      <c r="I140" s="417"/>
      <c r="J140" s="417"/>
      <c r="K140" s="417"/>
      <c r="L140" s="417"/>
      <c r="M140" s="417"/>
      <c r="N140" s="417"/>
      <c r="O140" s="417"/>
      <c r="P140" s="417"/>
      <c r="Q140" s="417"/>
      <c r="R140" s="417"/>
      <c r="S140" s="417"/>
      <c r="T140" s="417"/>
    </row>
    <row r="141" spans="2:20" s="410" customFormat="1" ht="27.75" x14ac:dyDescent="0.65">
      <c r="B141" s="409"/>
      <c r="C141" s="420" t="s">
        <v>18</v>
      </c>
      <c r="D141" s="415" t="s">
        <v>61</v>
      </c>
      <c r="E141" s="417"/>
    </row>
    <row r="142" spans="2:20" s="410" customFormat="1" ht="27.75" x14ac:dyDescent="0.65">
      <c r="B142" s="409"/>
      <c r="C142" s="420" t="s">
        <v>15</v>
      </c>
      <c r="D142" s="415" t="s">
        <v>62</v>
      </c>
      <c r="E142" s="417"/>
    </row>
    <row r="143" spans="2:20" s="410" customFormat="1" ht="27.75" x14ac:dyDescent="0.65">
      <c r="B143" s="409"/>
      <c r="C143" s="420" t="s">
        <v>19</v>
      </c>
      <c r="D143" s="415" t="s">
        <v>63</v>
      </c>
      <c r="E143" s="417"/>
    </row>
    <row r="144" spans="2:20" s="410" customFormat="1" ht="27.75" x14ac:dyDescent="0.65">
      <c r="B144" s="409"/>
      <c r="C144" s="420" t="s">
        <v>20</v>
      </c>
      <c r="D144" s="415" t="s">
        <v>64</v>
      </c>
      <c r="E144" s="417"/>
    </row>
    <row r="145" spans="2:5" s="410" customFormat="1" ht="27.75" x14ac:dyDescent="0.65">
      <c r="B145" s="409"/>
      <c r="C145" s="420" t="s">
        <v>21</v>
      </c>
      <c r="D145" s="415" t="s">
        <v>65</v>
      </c>
      <c r="E145" s="417"/>
    </row>
    <row r="146" spans="2:5" s="410" customFormat="1" ht="27.75" x14ac:dyDescent="0.65">
      <c r="B146" s="409"/>
      <c r="C146" s="420" t="s">
        <v>22</v>
      </c>
      <c r="D146" s="415" t="s">
        <v>66</v>
      </c>
      <c r="E146" s="417"/>
    </row>
    <row r="147" spans="2:5" s="410" customFormat="1" ht="27.75" x14ac:dyDescent="0.65">
      <c r="B147" s="409"/>
      <c r="C147" s="420" t="s">
        <v>23</v>
      </c>
      <c r="D147" s="415" t="s">
        <v>67</v>
      </c>
      <c r="E147" s="417"/>
    </row>
    <row r="148" spans="2:5" s="410" customFormat="1" ht="27.75" x14ac:dyDescent="0.65">
      <c r="B148" s="409"/>
      <c r="C148" s="420" t="s">
        <v>24</v>
      </c>
      <c r="D148" s="415" t="s">
        <v>68</v>
      </c>
      <c r="E148" s="417"/>
    </row>
    <row r="149" spans="2:5" s="410" customFormat="1" ht="27.75" x14ac:dyDescent="0.65">
      <c r="B149" s="409"/>
      <c r="C149" s="420" t="s">
        <v>47</v>
      </c>
      <c r="D149" s="415" t="s">
        <v>69</v>
      </c>
      <c r="E149" s="417"/>
    </row>
    <row r="150" spans="2:5" s="410" customFormat="1" ht="27.75" x14ac:dyDescent="0.65">
      <c r="B150" s="409"/>
      <c r="C150" s="420" t="s">
        <v>70</v>
      </c>
      <c r="D150" s="415" t="s">
        <v>71</v>
      </c>
      <c r="E150" s="417"/>
    </row>
    <row r="151" spans="2:5" s="410" customFormat="1" ht="27.75" x14ac:dyDescent="0.65">
      <c r="B151" s="409"/>
      <c r="C151" s="420" t="s">
        <v>25</v>
      </c>
      <c r="D151" s="415" t="s">
        <v>72</v>
      </c>
      <c r="E151" s="417"/>
    </row>
  </sheetData>
  <mergeCells count="3">
    <mergeCell ref="J3:T3"/>
    <mergeCell ref="J57:T57"/>
    <mergeCell ref="J75:T75"/>
  </mergeCells>
  <pageMargins left="0.7" right="0.7" top="0.75" bottom="0.75" header="0.3" footer="0.3"/>
  <pageSetup paperSize="9" scale="70" orientation="portrait" r:id="rId1"/>
  <rowBreaks count="1" manualBreakCount="1">
    <brk id="1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76"/>
  <sheetViews>
    <sheetView view="pageBreakPreview" zoomScale="60" zoomScaleNormal="100" workbookViewId="0">
      <selection activeCell="V120" sqref="V120"/>
    </sheetView>
  </sheetViews>
  <sheetFormatPr defaultColWidth="8.75" defaultRowHeight="21.75" x14ac:dyDescent="0.5"/>
  <cols>
    <col min="1" max="1" width="37.25" style="111" customWidth="1"/>
    <col min="2" max="31" width="5.375" style="118" customWidth="1"/>
    <col min="32" max="32" width="5.875" style="118" customWidth="1"/>
    <col min="33" max="33" width="8.125" style="118" customWidth="1"/>
    <col min="34" max="16384" width="8.75" style="111"/>
  </cols>
  <sheetData>
    <row r="1" spans="1:33" ht="30.75" x14ac:dyDescent="0.7">
      <c r="A1" s="320" t="s">
        <v>124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</row>
    <row r="2" spans="1:33" ht="30.75" customHeight="1" x14ac:dyDescent="0.5">
      <c r="A2" s="321" t="s">
        <v>73</v>
      </c>
      <c r="B2" s="323" t="s">
        <v>74</v>
      </c>
      <c r="C2" s="323"/>
      <c r="D2" s="323"/>
      <c r="E2" s="323"/>
      <c r="F2" s="323"/>
      <c r="G2" s="323"/>
      <c r="H2" s="323"/>
      <c r="I2" s="323"/>
      <c r="J2" s="323"/>
      <c r="K2" s="323"/>
      <c r="L2" s="325" t="s">
        <v>85</v>
      </c>
      <c r="M2" s="326" t="s">
        <v>125</v>
      </c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7" t="s">
        <v>76</v>
      </c>
    </row>
    <row r="3" spans="1:33" x14ac:dyDescent="0.5">
      <c r="A3" s="322"/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18"/>
      <c r="M3" s="112" t="s">
        <v>126</v>
      </c>
      <c r="N3" s="318" t="s">
        <v>85</v>
      </c>
      <c r="O3" s="319" t="s">
        <v>9</v>
      </c>
      <c r="P3" s="319"/>
      <c r="Q3" s="319"/>
      <c r="R3" s="319"/>
      <c r="S3" s="318" t="s">
        <v>85</v>
      </c>
      <c r="T3" s="319" t="s">
        <v>10</v>
      </c>
      <c r="U3" s="319"/>
      <c r="V3" s="319"/>
      <c r="W3" s="319"/>
      <c r="X3" s="319"/>
      <c r="Y3" s="318" t="s">
        <v>85</v>
      </c>
      <c r="Z3" s="319" t="s">
        <v>11</v>
      </c>
      <c r="AA3" s="319"/>
      <c r="AB3" s="319"/>
      <c r="AC3" s="319"/>
      <c r="AD3" s="319"/>
      <c r="AE3" s="319"/>
      <c r="AF3" s="318" t="s">
        <v>85</v>
      </c>
      <c r="AG3" s="328"/>
    </row>
    <row r="4" spans="1:33" x14ac:dyDescent="0.5">
      <c r="A4" s="322"/>
      <c r="B4" s="112" t="s">
        <v>78</v>
      </c>
      <c r="C4" s="112">
        <v>3.9123630672926448E-4</v>
      </c>
      <c r="D4" s="112" t="s">
        <v>80</v>
      </c>
      <c r="E4" s="112" t="s">
        <v>81</v>
      </c>
      <c r="F4" s="112" t="s">
        <v>82</v>
      </c>
      <c r="G4" s="112" t="s">
        <v>83</v>
      </c>
      <c r="H4" s="112" t="s">
        <v>86</v>
      </c>
      <c r="I4" s="112" t="s">
        <v>127</v>
      </c>
      <c r="J4" s="112" t="s">
        <v>84</v>
      </c>
      <c r="K4" s="112" t="s">
        <v>128</v>
      </c>
      <c r="L4" s="318"/>
      <c r="M4" s="112" t="s">
        <v>78</v>
      </c>
      <c r="N4" s="318"/>
      <c r="O4" s="112" t="s">
        <v>78</v>
      </c>
      <c r="P4" s="112" t="s">
        <v>79</v>
      </c>
      <c r="Q4" s="112" t="s">
        <v>80</v>
      </c>
      <c r="R4" s="112" t="s">
        <v>81</v>
      </c>
      <c r="S4" s="318"/>
      <c r="T4" s="112">
        <f>-U48</f>
        <v>0</v>
      </c>
      <c r="U4" s="112" t="s">
        <v>79</v>
      </c>
      <c r="V4" s="112" t="s">
        <v>80</v>
      </c>
      <c r="W4" s="112" t="s">
        <v>81</v>
      </c>
      <c r="X4" s="112" t="s">
        <v>82</v>
      </c>
      <c r="Y4" s="318"/>
      <c r="Z4" s="112" t="s">
        <v>79</v>
      </c>
      <c r="AA4" s="112" t="s">
        <v>80</v>
      </c>
      <c r="AB4" s="112" t="s">
        <v>81</v>
      </c>
      <c r="AC4" s="112" t="s">
        <v>82</v>
      </c>
      <c r="AD4" s="112" t="s">
        <v>83</v>
      </c>
      <c r="AE4" s="112" t="s">
        <v>86</v>
      </c>
      <c r="AF4" s="318"/>
      <c r="AG4" s="328"/>
    </row>
    <row r="5" spans="1:33" x14ac:dyDescent="0.5">
      <c r="A5" s="115" t="s">
        <v>87</v>
      </c>
      <c r="B5" s="116">
        <v>558</v>
      </c>
      <c r="C5" s="116">
        <v>424</v>
      </c>
      <c r="D5" s="116">
        <v>291</v>
      </c>
      <c r="E5" s="116">
        <v>78</v>
      </c>
      <c r="F5" s="116">
        <v>11</v>
      </c>
      <c r="G5" s="116">
        <v>8</v>
      </c>
      <c r="H5" s="116">
        <v>1</v>
      </c>
      <c r="I5" s="116"/>
      <c r="J5" s="116"/>
      <c r="K5" s="116"/>
      <c r="L5" s="117">
        <v>1371</v>
      </c>
      <c r="M5" s="116"/>
      <c r="N5" s="117"/>
      <c r="O5" s="116">
        <v>66</v>
      </c>
      <c r="P5" s="116">
        <v>2</v>
      </c>
      <c r="Q5" s="116">
        <v>1</v>
      </c>
      <c r="R5" s="116"/>
      <c r="S5" s="117">
        <v>69</v>
      </c>
      <c r="T5" s="116"/>
      <c r="U5" s="116"/>
      <c r="V5" s="116"/>
      <c r="W5" s="116"/>
      <c r="X5" s="116"/>
      <c r="Y5" s="117"/>
      <c r="Z5" s="116">
        <v>3</v>
      </c>
      <c r="AA5" s="116">
        <v>2</v>
      </c>
      <c r="AB5" s="116">
        <v>2</v>
      </c>
      <c r="AC5" s="116"/>
      <c r="AD5" s="116"/>
      <c r="AE5" s="116"/>
      <c r="AF5" s="117">
        <v>7</v>
      </c>
      <c r="AG5" s="116">
        <v>1447</v>
      </c>
    </row>
    <row r="6" spans="1:33" x14ac:dyDescent="0.5">
      <c r="A6" s="115" t="s">
        <v>90</v>
      </c>
      <c r="B6" s="116">
        <v>2344</v>
      </c>
      <c r="C6" s="116">
        <v>1549</v>
      </c>
      <c r="D6" s="116">
        <v>1228</v>
      </c>
      <c r="E6" s="116">
        <v>265</v>
      </c>
      <c r="F6" s="116">
        <v>52</v>
      </c>
      <c r="G6" s="116">
        <v>12</v>
      </c>
      <c r="H6" s="116">
        <v>5</v>
      </c>
      <c r="I6" s="116">
        <v>2</v>
      </c>
      <c r="J6" s="116"/>
      <c r="K6" s="116"/>
      <c r="L6" s="117">
        <v>5457</v>
      </c>
      <c r="M6" s="116"/>
      <c r="N6" s="117"/>
      <c r="O6" s="116">
        <v>319</v>
      </c>
      <c r="P6" s="116">
        <v>10</v>
      </c>
      <c r="Q6" s="116">
        <v>4</v>
      </c>
      <c r="R6" s="116">
        <v>1</v>
      </c>
      <c r="S6" s="117">
        <v>334</v>
      </c>
      <c r="T6" s="116"/>
      <c r="U6" s="116">
        <v>6</v>
      </c>
      <c r="V6" s="116">
        <v>1</v>
      </c>
      <c r="W6" s="116"/>
      <c r="X6" s="116">
        <v>1</v>
      </c>
      <c r="Y6" s="117">
        <v>8</v>
      </c>
      <c r="Z6" s="116">
        <v>20</v>
      </c>
      <c r="AA6" s="116">
        <v>13</v>
      </c>
      <c r="AB6" s="116">
        <v>4</v>
      </c>
      <c r="AC6" s="116">
        <v>1</v>
      </c>
      <c r="AD6" s="116"/>
      <c r="AE6" s="116"/>
      <c r="AF6" s="117">
        <v>38</v>
      </c>
      <c r="AG6" s="116">
        <v>5837</v>
      </c>
    </row>
    <row r="7" spans="1:33" x14ac:dyDescent="0.5">
      <c r="A7" s="115" t="s">
        <v>91</v>
      </c>
      <c r="B7" s="116">
        <v>443</v>
      </c>
      <c r="C7" s="116">
        <v>318</v>
      </c>
      <c r="D7" s="116">
        <v>235</v>
      </c>
      <c r="E7" s="116">
        <v>115</v>
      </c>
      <c r="F7" s="116">
        <v>15</v>
      </c>
      <c r="G7" s="116"/>
      <c r="H7" s="116">
        <v>3</v>
      </c>
      <c r="I7" s="116"/>
      <c r="J7" s="116"/>
      <c r="K7" s="116"/>
      <c r="L7" s="117">
        <v>1129</v>
      </c>
      <c r="M7" s="116"/>
      <c r="N7" s="117"/>
      <c r="O7" s="116">
        <v>47</v>
      </c>
      <c r="P7" s="116"/>
      <c r="Q7" s="116"/>
      <c r="R7" s="116"/>
      <c r="S7" s="117">
        <v>47</v>
      </c>
      <c r="T7" s="116"/>
      <c r="U7" s="116">
        <v>1</v>
      </c>
      <c r="V7" s="116"/>
      <c r="W7" s="116"/>
      <c r="X7" s="116"/>
      <c r="Y7" s="117">
        <v>1</v>
      </c>
      <c r="Z7" s="116">
        <v>4</v>
      </c>
      <c r="AA7" s="116"/>
      <c r="AB7" s="116">
        <v>1</v>
      </c>
      <c r="AC7" s="116"/>
      <c r="AD7" s="116"/>
      <c r="AE7" s="116">
        <v>1</v>
      </c>
      <c r="AF7" s="117">
        <v>6</v>
      </c>
      <c r="AG7" s="116">
        <v>1183</v>
      </c>
    </row>
    <row r="8" spans="1:33" x14ac:dyDescent="0.5">
      <c r="A8" s="115" t="s">
        <v>134</v>
      </c>
      <c r="B8" s="116">
        <v>460</v>
      </c>
      <c r="C8" s="116">
        <v>189</v>
      </c>
      <c r="D8" s="116">
        <v>270</v>
      </c>
      <c r="E8" s="116">
        <v>90</v>
      </c>
      <c r="F8" s="116">
        <v>17</v>
      </c>
      <c r="G8" s="116">
        <v>5</v>
      </c>
      <c r="H8" s="116">
        <v>2</v>
      </c>
      <c r="I8" s="116">
        <v>1</v>
      </c>
      <c r="J8" s="116"/>
      <c r="K8" s="116"/>
      <c r="L8" s="117">
        <v>1034</v>
      </c>
      <c r="M8" s="116"/>
      <c r="N8" s="117"/>
      <c r="O8" s="116">
        <v>146</v>
      </c>
      <c r="P8" s="116">
        <v>4</v>
      </c>
      <c r="Q8" s="116">
        <v>1</v>
      </c>
      <c r="R8" s="116"/>
      <c r="S8" s="117">
        <v>151</v>
      </c>
      <c r="T8" s="116"/>
      <c r="U8" s="116">
        <v>1</v>
      </c>
      <c r="V8" s="116">
        <v>6</v>
      </c>
      <c r="W8" s="116"/>
      <c r="X8" s="116"/>
      <c r="Y8" s="117">
        <v>7</v>
      </c>
      <c r="Z8" s="116">
        <v>2</v>
      </c>
      <c r="AA8" s="116">
        <v>4</v>
      </c>
      <c r="AB8" s="116">
        <v>1</v>
      </c>
      <c r="AC8" s="116"/>
      <c r="AD8" s="116"/>
      <c r="AE8" s="116"/>
      <c r="AF8" s="117">
        <v>7</v>
      </c>
      <c r="AG8" s="116">
        <v>1199</v>
      </c>
    </row>
    <row r="9" spans="1:33" x14ac:dyDescent="0.5">
      <c r="A9" s="115" t="s">
        <v>115</v>
      </c>
      <c r="B9" s="116">
        <v>76</v>
      </c>
      <c r="C9" s="116">
        <v>89</v>
      </c>
      <c r="D9" s="116">
        <v>96</v>
      </c>
      <c r="E9" s="116">
        <v>12</v>
      </c>
      <c r="F9" s="116">
        <v>8</v>
      </c>
      <c r="G9" s="116">
        <v>1</v>
      </c>
      <c r="H9" s="116"/>
      <c r="I9" s="116"/>
      <c r="J9" s="116"/>
      <c r="K9" s="116"/>
      <c r="L9" s="117">
        <v>282</v>
      </c>
      <c r="M9" s="116"/>
      <c r="N9" s="117"/>
      <c r="O9" s="116"/>
      <c r="P9" s="116"/>
      <c r="Q9" s="116"/>
      <c r="R9" s="116"/>
      <c r="S9" s="117"/>
      <c r="T9" s="116"/>
      <c r="U9" s="116"/>
      <c r="V9" s="116"/>
      <c r="W9" s="116"/>
      <c r="X9" s="116"/>
      <c r="Y9" s="117"/>
      <c r="Z9" s="116"/>
      <c r="AA9" s="116"/>
      <c r="AB9" s="116">
        <v>1</v>
      </c>
      <c r="AC9" s="116"/>
      <c r="AD9" s="116"/>
      <c r="AE9" s="116"/>
      <c r="AF9" s="117">
        <v>1</v>
      </c>
      <c r="AG9" s="116">
        <v>283</v>
      </c>
    </row>
    <row r="10" spans="1:33" x14ac:dyDescent="0.5">
      <c r="A10" s="115" t="s">
        <v>92</v>
      </c>
      <c r="B10" s="116">
        <v>126</v>
      </c>
      <c r="C10" s="116">
        <v>123</v>
      </c>
      <c r="D10" s="116">
        <v>117</v>
      </c>
      <c r="E10" s="116">
        <v>63</v>
      </c>
      <c r="F10" s="116">
        <v>47</v>
      </c>
      <c r="G10" s="116">
        <v>2</v>
      </c>
      <c r="H10" s="116">
        <v>2</v>
      </c>
      <c r="I10" s="116"/>
      <c r="J10" s="116"/>
      <c r="K10" s="116"/>
      <c r="L10" s="117">
        <v>480</v>
      </c>
      <c r="M10" s="116"/>
      <c r="N10" s="117"/>
      <c r="O10" s="116">
        <v>1</v>
      </c>
      <c r="P10" s="116"/>
      <c r="Q10" s="116"/>
      <c r="R10" s="116"/>
      <c r="S10" s="117">
        <v>1</v>
      </c>
      <c r="T10" s="116"/>
      <c r="U10" s="116"/>
      <c r="V10" s="116"/>
      <c r="W10" s="116"/>
      <c r="X10" s="116"/>
      <c r="Y10" s="117"/>
      <c r="Z10" s="116"/>
      <c r="AA10" s="116"/>
      <c r="AB10" s="116"/>
      <c r="AC10" s="116"/>
      <c r="AD10" s="116"/>
      <c r="AE10" s="116"/>
      <c r="AF10" s="117"/>
      <c r="AG10" s="116">
        <v>481</v>
      </c>
    </row>
    <row r="11" spans="1:33" x14ac:dyDescent="0.5">
      <c r="A11" s="115" t="s">
        <v>116</v>
      </c>
      <c r="B11" s="116">
        <v>58</v>
      </c>
      <c r="C11" s="116">
        <v>64</v>
      </c>
      <c r="D11" s="116">
        <v>88</v>
      </c>
      <c r="E11" s="116">
        <v>65</v>
      </c>
      <c r="F11" s="116">
        <v>47</v>
      </c>
      <c r="G11" s="116"/>
      <c r="H11" s="116">
        <v>2</v>
      </c>
      <c r="I11" s="116"/>
      <c r="J11" s="116"/>
      <c r="K11" s="116">
        <v>1</v>
      </c>
      <c r="L11" s="117">
        <v>325</v>
      </c>
      <c r="M11" s="116"/>
      <c r="N11" s="117"/>
      <c r="O11" s="116"/>
      <c r="P11" s="116"/>
      <c r="Q11" s="116"/>
      <c r="R11" s="116"/>
      <c r="S11" s="117"/>
      <c r="T11" s="116"/>
      <c r="U11" s="116"/>
      <c r="V11" s="116"/>
      <c r="W11" s="116"/>
      <c r="X11" s="116"/>
      <c r="Y11" s="117"/>
      <c r="Z11" s="116"/>
      <c r="AA11" s="116"/>
      <c r="AB11" s="116"/>
      <c r="AC11" s="116"/>
      <c r="AD11" s="116"/>
      <c r="AE11" s="116"/>
      <c r="AF11" s="117"/>
      <c r="AG11" s="116">
        <v>325</v>
      </c>
    </row>
    <row r="12" spans="1:33" x14ac:dyDescent="0.5">
      <c r="A12" s="340" t="s">
        <v>93</v>
      </c>
      <c r="B12" s="341">
        <v>644</v>
      </c>
      <c r="C12" s="341">
        <v>611</v>
      </c>
      <c r="D12" s="341">
        <v>400</v>
      </c>
      <c r="E12" s="341">
        <v>106</v>
      </c>
      <c r="F12" s="341">
        <v>13</v>
      </c>
      <c r="G12" s="341">
        <v>4</v>
      </c>
      <c r="H12" s="341">
        <v>5</v>
      </c>
      <c r="I12" s="341"/>
      <c r="J12" s="341"/>
      <c r="K12" s="341"/>
      <c r="L12" s="117">
        <v>1783</v>
      </c>
      <c r="M12" s="341"/>
      <c r="N12" s="117"/>
      <c r="O12" s="341">
        <v>26</v>
      </c>
      <c r="P12" s="341">
        <v>3</v>
      </c>
      <c r="Q12" s="341"/>
      <c r="R12" s="341"/>
      <c r="S12" s="117">
        <v>29</v>
      </c>
      <c r="T12" s="341"/>
      <c r="U12" s="341">
        <v>1</v>
      </c>
      <c r="V12" s="341"/>
      <c r="W12" s="341"/>
      <c r="X12" s="341"/>
      <c r="Y12" s="117">
        <v>1</v>
      </c>
      <c r="Z12" s="341">
        <v>4</v>
      </c>
      <c r="AA12" s="341">
        <v>2</v>
      </c>
      <c r="AB12" s="341"/>
      <c r="AC12" s="341"/>
      <c r="AD12" s="341"/>
      <c r="AE12" s="341"/>
      <c r="AF12" s="117">
        <v>6</v>
      </c>
      <c r="AG12" s="341">
        <v>1819</v>
      </c>
    </row>
    <row r="13" spans="1:33" x14ac:dyDescent="0.5">
      <c r="A13" s="115" t="s">
        <v>94</v>
      </c>
      <c r="B13" s="116">
        <v>22</v>
      </c>
      <c r="C13" s="116">
        <v>2</v>
      </c>
      <c r="D13" s="116">
        <v>1</v>
      </c>
      <c r="E13" s="116"/>
      <c r="F13" s="116"/>
      <c r="G13" s="116"/>
      <c r="H13" s="116"/>
      <c r="I13" s="116"/>
      <c r="J13" s="116"/>
      <c r="K13" s="116"/>
      <c r="L13" s="117">
        <v>25</v>
      </c>
      <c r="M13" s="116"/>
      <c r="N13" s="117"/>
      <c r="O13" s="116"/>
      <c r="P13" s="116"/>
      <c r="Q13" s="116"/>
      <c r="R13" s="116"/>
      <c r="S13" s="117"/>
      <c r="T13" s="116"/>
      <c r="U13" s="116"/>
      <c r="V13" s="116"/>
      <c r="W13" s="116"/>
      <c r="X13" s="116"/>
      <c r="Y13" s="117"/>
      <c r="Z13" s="116"/>
      <c r="AA13" s="116"/>
      <c r="AB13" s="116"/>
      <c r="AC13" s="116"/>
      <c r="AD13" s="116"/>
      <c r="AE13" s="116"/>
      <c r="AF13" s="117"/>
      <c r="AG13" s="116">
        <v>25</v>
      </c>
    </row>
    <row r="14" spans="1:33" x14ac:dyDescent="0.5">
      <c r="A14" s="115" t="s">
        <v>96</v>
      </c>
      <c r="B14" s="116">
        <v>418</v>
      </c>
      <c r="C14" s="116">
        <v>309</v>
      </c>
      <c r="D14" s="116">
        <v>337</v>
      </c>
      <c r="E14" s="116">
        <v>176</v>
      </c>
      <c r="F14" s="116">
        <v>79</v>
      </c>
      <c r="G14" s="116">
        <v>20</v>
      </c>
      <c r="H14" s="116">
        <v>14</v>
      </c>
      <c r="I14" s="116"/>
      <c r="J14" s="116"/>
      <c r="K14" s="116"/>
      <c r="L14" s="117">
        <v>1353</v>
      </c>
      <c r="M14" s="116"/>
      <c r="N14" s="117"/>
      <c r="O14" s="116">
        <v>71</v>
      </c>
      <c r="P14" s="116">
        <v>3</v>
      </c>
      <c r="Q14" s="116">
        <v>1</v>
      </c>
      <c r="R14" s="116"/>
      <c r="S14" s="117">
        <v>75</v>
      </c>
      <c r="T14" s="116"/>
      <c r="U14" s="116">
        <v>2</v>
      </c>
      <c r="V14" s="116"/>
      <c r="W14" s="116">
        <v>1</v>
      </c>
      <c r="X14" s="116"/>
      <c r="Y14" s="117">
        <v>3</v>
      </c>
      <c r="Z14" s="116">
        <v>2</v>
      </c>
      <c r="AA14" s="116">
        <v>4</v>
      </c>
      <c r="AB14" s="116"/>
      <c r="AC14" s="116">
        <v>2</v>
      </c>
      <c r="AD14" s="116"/>
      <c r="AE14" s="116"/>
      <c r="AF14" s="117">
        <v>8</v>
      </c>
      <c r="AG14" s="116">
        <v>1439</v>
      </c>
    </row>
    <row r="15" spans="1:33" x14ac:dyDescent="0.5">
      <c r="A15" s="115" t="s">
        <v>97</v>
      </c>
      <c r="B15" s="116">
        <v>383</v>
      </c>
      <c r="C15" s="116">
        <v>344</v>
      </c>
      <c r="D15" s="116">
        <v>344</v>
      </c>
      <c r="E15" s="116">
        <v>80</v>
      </c>
      <c r="F15" s="116">
        <v>20</v>
      </c>
      <c r="G15" s="116">
        <v>13</v>
      </c>
      <c r="H15" s="116"/>
      <c r="I15" s="116"/>
      <c r="J15" s="116"/>
      <c r="K15" s="116"/>
      <c r="L15" s="117">
        <v>1184</v>
      </c>
      <c r="M15" s="116"/>
      <c r="N15" s="117"/>
      <c r="O15" s="116">
        <v>20</v>
      </c>
      <c r="P15" s="116">
        <v>2</v>
      </c>
      <c r="Q15" s="116"/>
      <c r="R15" s="116"/>
      <c r="S15" s="117">
        <v>22</v>
      </c>
      <c r="T15" s="116"/>
      <c r="U15" s="116"/>
      <c r="V15" s="116"/>
      <c r="W15" s="116"/>
      <c r="X15" s="116"/>
      <c r="Y15" s="117"/>
      <c r="Z15" s="116"/>
      <c r="AA15" s="116">
        <v>1</v>
      </c>
      <c r="AB15" s="116"/>
      <c r="AC15" s="116"/>
      <c r="AD15" s="116"/>
      <c r="AE15" s="116"/>
      <c r="AF15" s="117">
        <v>1</v>
      </c>
      <c r="AG15" s="116">
        <v>1207</v>
      </c>
    </row>
    <row r="16" spans="1:33" x14ac:dyDescent="0.5">
      <c r="A16" s="115" t="s">
        <v>101</v>
      </c>
      <c r="B16" s="116">
        <v>273</v>
      </c>
      <c r="C16" s="116">
        <v>177</v>
      </c>
      <c r="D16" s="116">
        <v>166</v>
      </c>
      <c r="E16" s="116">
        <v>85</v>
      </c>
      <c r="F16" s="116">
        <v>35</v>
      </c>
      <c r="G16" s="116">
        <v>22</v>
      </c>
      <c r="H16" s="116">
        <v>5</v>
      </c>
      <c r="I16" s="116"/>
      <c r="J16" s="116"/>
      <c r="K16" s="116"/>
      <c r="L16" s="117">
        <v>763</v>
      </c>
      <c r="M16" s="116"/>
      <c r="N16" s="117"/>
      <c r="O16" s="116">
        <v>14</v>
      </c>
      <c r="P16" s="116">
        <v>1</v>
      </c>
      <c r="Q16" s="116">
        <v>1</v>
      </c>
      <c r="R16" s="116"/>
      <c r="S16" s="117">
        <v>16</v>
      </c>
      <c r="T16" s="116"/>
      <c r="U16" s="116"/>
      <c r="V16" s="116"/>
      <c r="W16" s="116"/>
      <c r="X16" s="116"/>
      <c r="Y16" s="117"/>
      <c r="Z16" s="116">
        <v>2</v>
      </c>
      <c r="AA16" s="116">
        <v>1</v>
      </c>
      <c r="AB16" s="116">
        <v>1</v>
      </c>
      <c r="AC16" s="116">
        <v>1</v>
      </c>
      <c r="AD16" s="116">
        <v>1</v>
      </c>
      <c r="AE16" s="116">
        <v>1</v>
      </c>
      <c r="AF16" s="117">
        <v>7</v>
      </c>
      <c r="AG16" s="116">
        <v>786</v>
      </c>
    </row>
    <row r="17" spans="1:33" x14ac:dyDescent="0.5">
      <c r="A17" s="115" t="s">
        <v>102</v>
      </c>
      <c r="B17" s="116">
        <v>150</v>
      </c>
      <c r="C17" s="116">
        <v>95</v>
      </c>
      <c r="D17" s="116">
        <v>121</v>
      </c>
      <c r="E17" s="116">
        <v>43</v>
      </c>
      <c r="F17" s="116">
        <v>13</v>
      </c>
      <c r="G17" s="116">
        <v>5</v>
      </c>
      <c r="H17" s="116"/>
      <c r="I17" s="116"/>
      <c r="J17" s="116"/>
      <c r="K17" s="116"/>
      <c r="L17" s="117">
        <v>427</v>
      </c>
      <c r="M17" s="116"/>
      <c r="N17" s="117"/>
      <c r="O17" s="116">
        <v>20</v>
      </c>
      <c r="P17" s="116"/>
      <c r="Q17" s="116"/>
      <c r="R17" s="116"/>
      <c r="S17" s="117">
        <v>20</v>
      </c>
      <c r="T17" s="116"/>
      <c r="U17" s="116"/>
      <c r="V17" s="116"/>
      <c r="W17" s="116"/>
      <c r="X17" s="116"/>
      <c r="Y17" s="117"/>
      <c r="Z17" s="116"/>
      <c r="AA17" s="116"/>
      <c r="AB17" s="116"/>
      <c r="AC17" s="116"/>
      <c r="AD17" s="116"/>
      <c r="AE17" s="116"/>
      <c r="AF17" s="117"/>
      <c r="AG17" s="116">
        <v>447</v>
      </c>
    </row>
    <row r="18" spans="1:33" x14ac:dyDescent="0.5">
      <c r="A18" s="115" t="s">
        <v>103</v>
      </c>
      <c r="B18" s="116">
        <v>389</v>
      </c>
      <c r="C18" s="116">
        <v>388</v>
      </c>
      <c r="D18" s="116">
        <v>405</v>
      </c>
      <c r="E18" s="116">
        <v>287</v>
      </c>
      <c r="F18" s="116">
        <v>11</v>
      </c>
      <c r="G18" s="116">
        <v>6</v>
      </c>
      <c r="H18" s="116">
        <v>2</v>
      </c>
      <c r="I18" s="116"/>
      <c r="J18" s="116">
        <v>2</v>
      </c>
      <c r="K18" s="116"/>
      <c r="L18" s="117">
        <v>1490</v>
      </c>
      <c r="M18" s="116"/>
      <c r="N18" s="117"/>
      <c r="O18" s="116"/>
      <c r="P18" s="116"/>
      <c r="Q18" s="116"/>
      <c r="R18" s="116"/>
      <c r="S18" s="117"/>
      <c r="T18" s="116"/>
      <c r="U18" s="116"/>
      <c r="V18" s="116"/>
      <c r="W18" s="116"/>
      <c r="X18" s="116"/>
      <c r="Y18" s="117"/>
      <c r="Z18" s="116"/>
      <c r="AA18" s="116"/>
      <c r="AB18" s="116"/>
      <c r="AC18" s="116"/>
      <c r="AD18" s="116"/>
      <c r="AE18" s="116"/>
      <c r="AF18" s="117"/>
      <c r="AG18" s="116">
        <v>1490</v>
      </c>
    </row>
    <row r="19" spans="1:33" x14ac:dyDescent="0.5">
      <c r="A19" s="115" t="s">
        <v>119</v>
      </c>
      <c r="B19" s="116">
        <v>219</v>
      </c>
      <c r="C19" s="116">
        <v>198</v>
      </c>
      <c r="D19" s="116">
        <v>175</v>
      </c>
      <c r="E19" s="116">
        <v>138</v>
      </c>
      <c r="F19" s="116">
        <v>21</v>
      </c>
      <c r="G19" s="116">
        <v>12</v>
      </c>
      <c r="H19" s="116">
        <v>7</v>
      </c>
      <c r="I19" s="116">
        <v>1</v>
      </c>
      <c r="J19" s="116">
        <v>1</v>
      </c>
      <c r="K19" s="116"/>
      <c r="L19" s="117">
        <v>772</v>
      </c>
      <c r="M19" s="116"/>
      <c r="N19" s="117"/>
      <c r="O19" s="116">
        <v>23</v>
      </c>
      <c r="P19" s="116">
        <v>1</v>
      </c>
      <c r="Q19" s="116"/>
      <c r="R19" s="116"/>
      <c r="S19" s="117">
        <v>24</v>
      </c>
      <c r="T19" s="116">
        <v>1</v>
      </c>
      <c r="U19" s="116"/>
      <c r="V19" s="116"/>
      <c r="W19" s="116"/>
      <c r="X19" s="116"/>
      <c r="Y19" s="117">
        <v>1</v>
      </c>
      <c r="Z19" s="116">
        <v>2</v>
      </c>
      <c r="AA19" s="116">
        <v>1</v>
      </c>
      <c r="AB19" s="116"/>
      <c r="AC19" s="116"/>
      <c r="AD19" s="116"/>
      <c r="AE19" s="116"/>
      <c r="AF19" s="117">
        <v>3</v>
      </c>
      <c r="AG19" s="116">
        <v>800</v>
      </c>
    </row>
    <row r="20" spans="1:33" x14ac:dyDescent="0.5">
      <c r="A20" s="115" t="s">
        <v>121</v>
      </c>
      <c r="B20" s="116">
        <v>24</v>
      </c>
      <c r="C20" s="116"/>
      <c r="D20" s="116">
        <v>66</v>
      </c>
      <c r="E20" s="116">
        <v>32</v>
      </c>
      <c r="F20" s="116">
        <v>42</v>
      </c>
      <c r="G20" s="116"/>
      <c r="H20" s="116"/>
      <c r="I20" s="116"/>
      <c r="J20" s="116"/>
      <c r="K20" s="116"/>
      <c r="L20" s="117">
        <v>164</v>
      </c>
      <c r="M20" s="116"/>
      <c r="N20" s="117"/>
      <c r="O20" s="116"/>
      <c r="P20" s="116"/>
      <c r="Q20" s="116"/>
      <c r="R20" s="116"/>
      <c r="S20" s="117"/>
      <c r="T20" s="116"/>
      <c r="U20" s="116"/>
      <c r="V20" s="116"/>
      <c r="W20" s="116"/>
      <c r="X20" s="116"/>
      <c r="Y20" s="117"/>
      <c r="Z20" s="116"/>
      <c r="AA20" s="116">
        <v>1</v>
      </c>
      <c r="AB20" s="116"/>
      <c r="AC20" s="116"/>
      <c r="AD20" s="116"/>
      <c r="AE20" s="116"/>
      <c r="AF20" s="117">
        <v>1</v>
      </c>
      <c r="AG20" s="116">
        <v>165</v>
      </c>
    </row>
    <row r="21" spans="1:33" x14ac:dyDescent="0.5">
      <c r="A21" s="115" t="s">
        <v>105</v>
      </c>
      <c r="B21" s="116">
        <v>174</v>
      </c>
      <c r="C21" s="116">
        <v>136</v>
      </c>
      <c r="D21" s="116">
        <v>142</v>
      </c>
      <c r="E21" s="116">
        <v>2</v>
      </c>
      <c r="F21" s="116">
        <v>1</v>
      </c>
      <c r="G21" s="116"/>
      <c r="H21" s="116"/>
      <c r="I21" s="116"/>
      <c r="J21" s="116"/>
      <c r="K21" s="116"/>
      <c r="L21" s="117">
        <v>455</v>
      </c>
      <c r="M21" s="116"/>
      <c r="N21" s="117"/>
      <c r="O21" s="116">
        <v>2</v>
      </c>
      <c r="P21" s="116"/>
      <c r="Q21" s="116"/>
      <c r="R21" s="116"/>
      <c r="S21" s="117">
        <v>2</v>
      </c>
      <c r="T21" s="116"/>
      <c r="U21" s="116"/>
      <c r="V21" s="116"/>
      <c r="W21" s="116"/>
      <c r="X21" s="116"/>
      <c r="Y21" s="117"/>
      <c r="Z21" s="116"/>
      <c r="AA21" s="116"/>
      <c r="AB21" s="116"/>
      <c r="AC21" s="116"/>
      <c r="AD21" s="116"/>
      <c r="AE21" s="116"/>
      <c r="AF21" s="117"/>
      <c r="AG21" s="116">
        <v>457</v>
      </c>
    </row>
    <row r="22" spans="1:33" x14ac:dyDescent="0.5">
      <c r="A22" s="115" t="s">
        <v>106</v>
      </c>
      <c r="B22" s="116">
        <v>215</v>
      </c>
      <c r="C22" s="116">
        <v>149</v>
      </c>
      <c r="D22" s="116">
        <v>195</v>
      </c>
      <c r="E22" s="116">
        <v>42</v>
      </c>
      <c r="F22" s="116">
        <v>7</v>
      </c>
      <c r="G22" s="116">
        <v>5</v>
      </c>
      <c r="H22" s="116"/>
      <c r="I22" s="116"/>
      <c r="J22" s="116"/>
      <c r="K22" s="116"/>
      <c r="L22" s="117">
        <v>613</v>
      </c>
      <c r="M22" s="116"/>
      <c r="N22" s="117"/>
      <c r="O22" s="116">
        <v>8</v>
      </c>
      <c r="P22" s="116">
        <v>1</v>
      </c>
      <c r="Q22" s="116"/>
      <c r="R22" s="116"/>
      <c r="S22" s="117">
        <v>9</v>
      </c>
      <c r="T22" s="116"/>
      <c r="U22" s="116"/>
      <c r="V22" s="116"/>
      <c r="W22" s="116"/>
      <c r="X22" s="116"/>
      <c r="Y22" s="117"/>
      <c r="Z22" s="116">
        <v>1</v>
      </c>
      <c r="AA22" s="116"/>
      <c r="AB22" s="116"/>
      <c r="AC22" s="116"/>
      <c r="AD22" s="116"/>
      <c r="AE22" s="116"/>
      <c r="AF22" s="117">
        <v>1</v>
      </c>
      <c r="AG22" s="116">
        <v>623</v>
      </c>
    </row>
    <row r="23" spans="1:33" x14ac:dyDescent="0.5">
      <c r="A23" s="115" t="s">
        <v>120</v>
      </c>
      <c r="B23" s="116">
        <v>765</v>
      </c>
      <c r="C23" s="116">
        <v>419</v>
      </c>
      <c r="D23" s="116">
        <v>516</v>
      </c>
      <c r="E23" s="116">
        <v>61</v>
      </c>
      <c r="F23" s="116">
        <v>5</v>
      </c>
      <c r="G23" s="116">
        <v>3</v>
      </c>
      <c r="H23" s="116"/>
      <c r="I23" s="116">
        <v>1</v>
      </c>
      <c r="J23" s="116"/>
      <c r="K23" s="116"/>
      <c r="L23" s="117">
        <v>1770</v>
      </c>
      <c r="M23" s="116"/>
      <c r="N23" s="117"/>
      <c r="O23" s="116">
        <v>108</v>
      </c>
      <c r="P23" s="116">
        <v>1</v>
      </c>
      <c r="Q23" s="116">
        <v>1</v>
      </c>
      <c r="R23" s="116"/>
      <c r="S23" s="117">
        <v>110</v>
      </c>
      <c r="T23" s="116"/>
      <c r="U23" s="116">
        <v>3</v>
      </c>
      <c r="V23" s="116">
        <v>1</v>
      </c>
      <c r="W23" s="116"/>
      <c r="X23" s="116"/>
      <c r="Y23" s="117">
        <v>4</v>
      </c>
      <c r="Z23" s="116">
        <v>6</v>
      </c>
      <c r="AA23" s="116">
        <v>1</v>
      </c>
      <c r="AB23" s="116">
        <v>1</v>
      </c>
      <c r="AC23" s="116"/>
      <c r="AD23" s="116"/>
      <c r="AE23" s="116"/>
      <c r="AF23" s="117">
        <v>8</v>
      </c>
      <c r="AG23" s="116">
        <v>1892</v>
      </c>
    </row>
    <row r="24" spans="1:33" x14ac:dyDescent="0.5">
      <c r="A24" s="342" t="s">
        <v>107</v>
      </c>
      <c r="B24" s="343">
        <v>101</v>
      </c>
      <c r="C24" s="343">
        <v>47</v>
      </c>
      <c r="D24" s="343">
        <v>60</v>
      </c>
      <c r="E24" s="343">
        <v>47</v>
      </c>
      <c r="F24" s="343">
        <v>9</v>
      </c>
      <c r="G24" s="343">
        <v>5</v>
      </c>
      <c r="H24" s="343">
        <v>2</v>
      </c>
      <c r="I24" s="343"/>
      <c r="J24" s="343"/>
      <c r="K24" s="343"/>
      <c r="L24" s="344">
        <v>271</v>
      </c>
      <c r="M24" s="343">
        <v>1</v>
      </c>
      <c r="N24" s="344">
        <v>1</v>
      </c>
      <c r="O24" s="343">
        <v>16</v>
      </c>
      <c r="P24" s="343"/>
      <c r="Q24" s="343"/>
      <c r="R24" s="343"/>
      <c r="S24" s="344">
        <v>16</v>
      </c>
      <c r="T24" s="343"/>
      <c r="U24" s="343"/>
      <c r="V24" s="343"/>
      <c r="W24" s="343"/>
      <c r="X24" s="343"/>
      <c r="Y24" s="344"/>
      <c r="Z24" s="343"/>
      <c r="AA24" s="343"/>
      <c r="AB24" s="343"/>
      <c r="AC24" s="343"/>
      <c r="AD24" s="343"/>
      <c r="AE24" s="343"/>
      <c r="AF24" s="344"/>
      <c r="AG24" s="343">
        <v>288</v>
      </c>
    </row>
    <row r="25" spans="1:33" s="348" customFormat="1" x14ac:dyDescent="0.5">
      <c r="A25" s="345" t="s">
        <v>44</v>
      </c>
      <c r="B25" s="346">
        <f>SUM(B5:B24)</f>
        <v>7842</v>
      </c>
      <c r="C25" s="346">
        <f t="shared" ref="C25:AG25" si="0">SUM(C5:C24)</f>
        <v>5631</v>
      </c>
      <c r="D25" s="346">
        <f t="shared" si="0"/>
        <v>5253</v>
      </c>
      <c r="E25" s="346">
        <f t="shared" si="0"/>
        <v>1787</v>
      </c>
      <c r="F25" s="346">
        <f t="shared" si="0"/>
        <v>453</v>
      </c>
      <c r="G25" s="346">
        <f t="shared" si="0"/>
        <v>123</v>
      </c>
      <c r="H25" s="346">
        <f t="shared" si="0"/>
        <v>50</v>
      </c>
      <c r="I25" s="346">
        <f t="shared" si="0"/>
        <v>5</v>
      </c>
      <c r="J25" s="346">
        <f t="shared" si="0"/>
        <v>3</v>
      </c>
      <c r="K25" s="346">
        <f t="shared" si="0"/>
        <v>1</v>
      </c>
      <c r="L25" s="347">
        <f t="shared" si="0"/>
        <v>21148</v>
      </c>
      <c r="M25" s="346">
        <f t="shared" si="0"/>
        <v>1</v>
      </c>
      <c r="N25" s="347">
        <f t="shared" si="0"/>
        <v>1</v>
      </c>
      <c r="O25" s="346">
        <f t="shared" si="0"/>
        <v>887</v>
      </c>
      <c r="P25" s="346">
        <f t="shared" si="0"/>
        <v>28</v>
      </c>
      <c r="Q25" s="346">
        <f t="shared" si="0"/>
        <v>9</v>
      </c>
      <c r="R25" s="346">
        <f t="shared" si="0"/>
        <v>1</v>
      </c>
      <c r="S25" s="347">
        <f t="shared" si="0"/>
        <v>925</v>
      </c>
      <c r="T25" s="346">
        <f t="shared" si="0"/>
        <v>1</v>
      </c>
      <c r="U25" s="346">
        <f t="shared" si="0"/>
        <v>14</v>
      </c>
      <c r="V25" s="346">
        <f t="shared" si="0"/>
        <v>8</v>
      </c>
      <c r="W25" s="346">
        <f t="shared" si="0"/>
        <v>1</v>
      </c>
      <c r="X25" s="346">
        <f t="shared" si="0"/>
        <v>1</v>
      </c>
      <c r="Y25" s="347">
        <f t="shared" si="0"/>
        <v>25</v>
      </c>
      <c r="Z25" s="346">
        <f t="shared" si="0"/>
        <v>46</v>
      </c>
      <c r="AA25" s="346">
        <f t="shared" si="0"/>
        <v>30</v>
      </c>
      <c r="AB25" s="346">
        <f t="shared" si="0"/>
        <v>11</v>
      </c>
      <c r="AC25" s="346">
        <f t="shared" si="0"/>
        <v>4</v>
      </c>
      <c r="AD25" s="346">
        <f t="shared" si="0"/>
        <v>1</v>
      </c>
      <c r="AE25" s="346">
        <f t="shared" si="0"/>
        <v>2</v>
      </c>
      <c r="AF25" s="347">
        <f t="shared" si="0"/>
        <v>94</v>
      </c>
      <c r="AG25" s="346">
        <f t="shared" si="0"/>
        <v>22193</v>
      </c>
    </row>
    <row r="27" spans="1:33" x14ac:dyDescent="0.5">
      <c r="AG27" s="119" t="s">
        <v>141</v>
      </c>
    </row>
    <row r="28" spans="1:33" x14ac:dyDescent="0.5">
      <c r="AG28" s="119" t="s">
        <v>142</v>
      </c>
    </row>
    <row r="56" spans="3:20" ht="13.5" customHeight="1" x14ac:dyDescent="0.5"/>
    <row r="57" spans="3:20" x14ac:dyDescent="0.5">
      <c r="C57" s="118" t="s">
        <v>38</v>
      </c>
      <c r="J57" s="118" t="s">
        <v>45</v>
      </c>
    </row>
    <row r="58" spans="3:20" x14ac:dyDescent="0.5">
      <c r="C58" s="118">
        <v>7.8247261345852897E-4</v>
      </c>
      <c r="T58" s="118" t="s">
        <v>46</v>
      </c>
    </row>
    <row r="73" spans="2:3" ht="24" x14ac:dyDescent="0.55000000000000004">
      <c r="B73" s="370"/>
      <c r="C73" s="370"/>
    </row>
    <row r="74" spans="2:3" ht="24" x14ac:dyDescent="0.55000000000000004">
      <c r="B74" s="370"/>
      <c r="C74" s="370"/>
    </row>
    <row r="76" spans="2:3" x14ac:dyDescent="0.5">
      <c r="C76" s="118" t="s">
        <v>167</v>
      </c>
    </row>
  </sheetData>
  <mergeCells count="13">
    <mergeCell ref="A1:AG1"/>
    <mergeCell ref="A2:A4"/>
    <mergeCell ref="B2:K3"/>
    <mergeCell ref="L2:L4"/>
    <mergeCell ref="M2:AF2"/>
    <mergeCell ref="AG2:AG4"/>
    <mergeCell ref="N3:N4"/>
    <mergeCell ref="O3:R3"/>
    <mergeCell ref="S3:S4"/>
    <mergeCell ref="T3:X3"/>
    <mergeCell ref="Y3:Y4"/>
    <mergeCell ref="Z3:AE3"/>
    <mergeCell ref="AF3:AF4"/>
  </mergeCells>
  <pageMargins left="0.11811023622047245" right="0.11811023622047245" top="0.35433070866141736" bottom="0.35433070866141736" header="0.31496062992125984" footer="0.31496062992125984"/>
  <pageSetup paperSize="9" scale="65" orientation="landscape" r:id="rId1"/>
  <headerFooter differentFirst="1">
    <oddFooter>&amp;L&amp;14จำนวนนิสิตจำแนกตามสถานภาพนิสิต ภาคปลาย ปีการศึกษา 2556 ระดับปริญญาตรี ระบบปกติ&amp;R&amp;14&amp;P/&amp;N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76"/>
  <sheetViews>
    <sheetView view="pageBreakPreview" topLeftCell="A16" zoomScale="60" zoomScaleNormal="100" workbookViewId="0">
      <selection activeCell="V120" sqref="V120"/>
    </sheetView>
  </sheetViews>
  <sheetFormatPr defaultColWidth="8.75" defaultRowHeight="21.75" x14ac:dyDescent="0.5"/>
  <cols>
    <col min="1" max="1" width="38.125" style="111" customWidth="1"/>
    <col min="2" max="27" width="5.625" style="110" customWidth="1"/>
    <col min="28" max="28" width="8.75" style="110"/>
    <col min="29" max="16384" width="8.75" style="111"/>
  </cols>
  <sheetData>
    <row r="1" spans="1:28" ht="33" x14ac:dyDescent="0.75">
      <c r="A1" s="386" t="s">
        <v>143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</row>
    <row r="2" spans="1:28" ht="25.5" customHeight="1" x14ac:dyDescent="0.5">
      <c r="A2" s="408" t="s">
        <v>73</v>
      </c>
      <c r="B2" s="391" t="s">
        <v>74</v>
      </c>
      <c r="C2" s="391"/>
      <c r="D2" s="391"/>
      <c r="E2" s="391"/>
      <c r="F2" s="391"/>
      <c r="G2" s="391"/>
      <c r="H2" s="391"/>
      <c r="I2" s="391"/>
      <c r="J2" s="391"/>
      <c r="K2" s="392" t="s">
        <v>85</v>
      </c>
      <c r="L2" s="406" t="s">
        <v>125</v>
      </c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391" t="s">
        <v>76</v>
      </c>
    </row>
    <row r="3" spans="1:28" x14ac:dyDescent="0.5">
      <c r="A3" s="408"/>
      <c r="B3" s="391"/>
      <c r="C3" s="391"/>
      <c r="D3" s="391"/>
      <c r="E3" s="391"/>
      <c r="F3" s="391"/>
      <c r="G3" s="391"/>
      <c r="H3" s="391"/>
      <c r="I3" s="391"/>
      <c r="J3" s="391"/>
      <c r="K3" s="392"/>
      <c r="L3" s="395" t="s">
        <v>9</v>
      </c>
      <c r="M3" s="395"/>
      <c r="N3" s="395"/>
      <c r="O3" s="395"/>
      <c r="P3" s="392" t="s">
        <v>85</v>
      </c>
      <c r="Q3" s="395" t="s">
        <v>10</v>
      </c>
      <c r="R3" s="395"/>
      <c r="S3" s="395"/>
      <c r="T3" s="392" t="s">
        <v>85</v>
      </c>
      <c r="U3" s="395" t="s">
        <v>11</v>
      </c>
      <c r="V3" s="395"/>
      <c r="W3" s="395"/>
      <c r="X3" s="395"/>
      <c r="Y3" s="395"/>
      <c r="Z3" s="395"/>
      <c r="AA3" s="392" t="s">
        <v>85</v>
      </c>
      <c r="AB3" s="391"/>
    </row>
    <row r="4" spans="1:28" x14ac:dyDescent="0.5">
      <c r="A4" s="408"/>
      <c r="B4" s="407" t="s">
        <v>78</v>
      </c>
      <c r="C4" s="407">
        <v>3.9123630672926448E-4</v>
      </c>
      <c r="D4" s="407" t="s">
        <v>80</v>
      </c>
      <c r="E4" s="407" t="s">
        <v>81</v>
      </c>
      <c r="F4" s="407" t="s">
        <v>82</v>
      </c>
      <c r="G4" s="407" t="s">
        <v>83</v>
      </c>
      <c r="H4" s="407" t="s">
        <v>86</v>
      </c>
      <c r="I4" s="407" t="s">
        <v>127</v>
      </c>
      <c r="J4" s="407" t="s">
        <v>84</v>
      </c>
      <c r="K4" s="392"/>
      <c r="L4" s="407" t="s">
        <v>78</v>
      </c>
      <c r="M4" s="407" t="s">
        <v>79</v>
      </c>
      <c r="N4" s="407" t="s">
        <v>80</v>
      </c>
      <c r="O4" s="407" t="s">
        <v>82</v>
      </c>
      <c r="P4" s="392"/>
      <c r="Q4" s="407" t="s">
        <v>79</v>
      </c>
      <c r="R4" s="407" t="s">
        <v>80</v>
      </c>
      <c r="S4" s="407" t="s">
        <v>81</v>
      </c>
      <c r="T4" s="392"/>
      <c r="U4" s="407" t="s">
        <v>79</v>
      </c>
      <c r="V4" s="407" t="s">
        <v>80</v>
      </c>
      <c r="W4" s="407" t="s">
        <v>81</v>
      </c>
      <c r="X4" s="407" t="s">
        <v>82</v>
      </c>
      <c r="Y4" s="407" t="s">
        <v>83</v>
      </c>
      <c r="Z4" s="407" t="s">
        <v>86</v>
      </c>
      <c r="AA4" s="392"/>
      <c r="AB4" s="391"/>
    </row>
    <row r="5" spans="1:28" x14ac:dyDescent="0.5">
      <c r="A5" s="403" t="s">
        <v>129</v>
      </c>
      <c r="B5" s="404"/>
      <c r="C5" s="404"/>
      <c r="D5" s="404"/>
      <c r="E5" s="404"/>
      <c r="F5" s="404"/>
      <c r="G5" s="404"/>
      <c r="H5" s="404"/>
      <c r="I5" s="404"/>
      <c r="J5" s="404"/>
      <c r="K5" s="405"/>
      <c r="L5" s="404"/>
      <c r="M5" s="404"/>
      <c r="N5" s="404"/>
      <c r="O5" s="404"/>
      <c r="P5" s="405"/>
      <c r="Q5" s="404"/>
      <c r="R5" s="404"/>
      <c r="S5" s="404"/>
      <c r="T5" s="405"/>
      <c r="U5" s="404"/>
      <c r="V5" s="404"/>
      <c r="W5" s="404"/>
      <c r="X5" s="404"/>
      <c r="Y5" s="404"/>
      <c r="Z5" s="404"/>
      <c r="AA5" s="405"/>
      <c r="AB5" s="404"/>
    </row>
    <row r="6" spans="1:28" x14ac:dyDescent="0.5">
      <c r="A6" s="400" t="s">
        <v>87</v>
      </c>
      <c r="B6" s="398">
        <v>1</v>
      </c>
      <c r="C6" s="398">
        <v>3</v>
      </c>
      <c r="D6" s="398">
        <v>2</v>
      </c>
      <c r="E6" s="398">
        <v>12</v>
      </c>
      <c r="F6" s="398">
        <v>4</v>
      </c>
      <c r="G6" s="398">
        <v>2</v>
      </c>
      <c r="H6" s="398">
        <v>1</v>
      </c>
      <c r="I6" s="398"/>
      <c r="J6" s="398"/>
      <c r="K6" s="399">
        <v>25</v>
      </c>
      <c r="L6" s="398"/>
      <c r="M6" s="398"/>
      <c r="N6" s="398"/>
      <c r="O6" s="398"/>
      <c r="P6" s="399"/>
      <c r="Q6" s="398"/>
      <c r="R6" s="398"/>
      <c r="S6" s="398"/>
      <c r="T6" s="399"/>
      <c r="U6" s="398"/>
      <c r="V6" s="398"/>
      <c r="W6" s="398"/>
      <c r="X6" s="398"/>
      <c r="Y6" s="398"/>
      <c r="Z6" s="398"/>
      <c r="AA6" s="399"/>
      <c r="AB6" s="398">
        <v>25</v>
      </c>
    </row>
    <row r="7" spans="1:28" x14ac:dyDescent="0.5">
      <c r="A7" s="400" t="s">
        <v>90</v>
      </c>
      <c r="B7" s="398"/>
      <c r="C7" s="398"/>
      <c r="D7" s="398">
        <v>1</v>
      </c>
      <c r="E7" s="398">
        <v>1</v>
      </c>
      <c r="F7" s="398"/>
      <c r="G7" s="398"/>
      <c r="H7" s="398"/>
      <c r="I7" s="398"/>
      <c r="J7" s="398"/>
      <c r="K7" s="399">
        <v>2</v>
      </c>
      <c r="L7" s="398"/>
      <c r="M7" s="398"/>
      <c r="N7" s="398"/>
      <c r="O7" s="398"/>
      <c r="P7" s="399"/>
      <c r="Q7" s="398"/>
      <c r="R7" s="398"/>
      <c r="S7" s="398"/>
      <c r="T7" s="399"/>
      <c r="U7" s="398"/>
      <c r="V7" s="398"/>
      <c r="W7" s="398"/>
      <c r="X7" s="398"/>
      <c r="Y7" s="398"/>
      <c r="Z7" s="398"/>
      <c r="AA7" s="399"/>
      <c r="AB7" s="398">
        <v>2</v>
      </c>
    </row>
    <row r="8" spans="1:28" x14ac:dyDescent="0.5">
      <c r="A8" s="400" t="s">
        <v>91</v>
      </c>
      <c r="B8" s="398">
        <v>46</v>
      </c>
      <c r="C8" s="398">
        <v>52</v>
      </c>
      <c r="D8" s="398">
        <v>40</v>
      </c>
      <c r="E8" s="398">
        <v>21</v>
      </c>
      <c r="F8" s="398">
        <v>4</v>
      </c>
      <c r="G8" s="398">
        <v>3</v>
      </c>
      <c r="H8" s="398">
        <v>1</v>
      </c>
      <c r="I8" s="398"/>
      <c r="J8" s="398"/>
      <c r="K8" s="399">
        <v>167</v>
      </c>
      <c r="L8" s="398">
        <v>7</v>
      </c>
      <c r="M8" s="398"/>
      <c r="N8" s="398"/>
      <c r="O8" s="398"/>
      <c r="P8" s="399">
        <v>7</v>
      </c>
      <c r="Q8" s="398"/>
      <c r="R8" s="398"/>
      <c r="S8" s="398">
        <v>1</v>
      </c>
      <c r="T8" s="399">
        <v>1</v>
      </c>
      <c r="U8" s="398"/>
      <c r="V8" s="398">
        <v>1</v>
      </c>
      <c r="W8" s="398"/>
      <c r="X8" s="398"/>
      <c r="Y8" s="398"/>
      <c r="Z8" s="398"/>
      <c r="AA8" s="399">
        <v>1</v>
      </c>
      <c r="AB8" s="398">
        <v>176</v>
      </c>
    </row>
    <row r="9" spans="1:28" x14ac:dyDescent="0.5">
      <c r="A9" s="400" t="s">
        <v>133</v>
      </c>
      <c r="B9" s="398"/>
      <c r="C9" s="398"/>
      <c r="D9" s="398"/>
      <c r="E9" s="398"/>
      <c r="F9" s="398"/>
      <c r="G9" s="398"/>
      <c r="H9" s="398"/>
      <c r="I9" s="398"/>
      <c r="J9" s="398"/>
      <c r="K9" s="399"/>
      <c r="L9" s="398"/>
      <c r="M9" s="398"/>
      <c r="N9" s="398"/>
      <c r="O9" s="398"/>
      <c r="P9" s="399"/>
      <c r="Q9" s="398"/>
      <c r="R9" s="398"/>
      <c r="S9" s="398"/>
      <c r="T9" s="399"/>
      <c r="U9" s="398"/>
      <c r="V9" s="398"/>
      <c r="W9" s="398"/>
      <c r="X9" s="398"/>
      <c r="Y9" s="398"/>
      <c r="Z9" s="398"/>
      <c r="AA9" s="399"/>
      <c r="AB9" s="398"/>
    </row>
    <row r="10" spans="1:28" x14ac:dyDescent="0.5">
      <c r="A10" s="400" t="s">
        <v>134</v>
      </c>
      <c r="B10" s="398">
        <v>47</v>
      </c>
      <c r="C10" s="398">
        <v>45</v>
      </c>
      <c r="D10" s="398">
        <v>32</v>
      </c>
      <c r="E10" s="398">
        <v>7</v>
      </c>
      <c r="F10" s="398"/>
      <c r="G10" s="398"/>
      <c r="H10" s="398"/>
      <c r="I10" s="398"/>
      <c r="J10" s="398"/>
      <c r="K10" s="399">
        <v>131</v>
      </c>
      <c r="L10" s="398">
        <v>13</v>
      </c>
      <c r="M10" s="398">
        <v>3</v>
      </c>
      <c r="N10" s="398">
        <v>1</v>
      </c>
      <c r="O10" s="398"/>
      <c r="P10" s="399">
        <v>17</v>
      </c>
      <c r="Q10" s="398"/>
      <c r="R10" s="398">
        <v>1</v>
      </c>
      <c r="S10" s="398"/>
      <c r="T10" s="399">
        <v>1</v>
      </c>
      <c r="U10" s="398">
        <v>1</v>
      </c>
      <c r="V10" s="398">
        <v>1</v>
      </c>
      <c r="W10" s="398"/>
      <c r="X10" s="398"/>
      <c r="Y10" s="398"/>
      <c r="Z10" s="398"/>
      <c r="AA10" s="399">
        <v>2</v>
      </c>
      <c r="AB10" s="398">
        <v>151</v>
      </c>
    </row>
    <row r="11" spans="1:28" x14ac:dyDescent="0.5">
      <c r="A11" s="400" t="s">
        <v>92</v>
      </c>
      <c r="B11" s="398"/>
      <c r="C11" s="398"/>
      <c r="D11" s="398">
        <v>1</v>
      </c>
      <c r="E11" s="398"/>
      <c r="F11" s="398"/>
      <c r="G11" s="398"/>
      <c r="H11" s="398"/>
      <c r="I11" s="398"/>
      <c r="J11" s="398"/>
      <c r="K11" s="399">
        <v>1</v>
      </c>
      <c r="L11" s="398"/>
      <c r="M11" s="398"/>
      <c r="N11" s="398"/>
      <c r="O11" s="398"/>
      <c r="P11" s="399"/>
      <c r="Q11" s="398"/>
      <c r="R11" s="398"/>
      <c r="S11" s="398"/>
      <c r="T11" s="399"/>
      <c r="U11" s="398"/>
      <c r="V11" s="398"/>
      <c r="W11" s="398"/>
      <c r="X11" s="398"/>
      <c r="Y11" s="398"/>
      <c r="Z11" s="398"/>
      <c r="AA11" s="399"/>
      <c r="AB11" s="398">
        <v>1</v>
      </c>
    </row>
    <row r="12" spans="1:28" x14ac:dyDescent="0.5">
      <c r="A12" s="400" t="s">
        <v>116</v>
      </c>
      <c r="B12" s="398">
        <v>34</v>
      </c>
      <c r="C12" s="398">
        <v>36</v>
      </c>
      <c r="D12" s="398">
        <v>24</v>
      </c>
      <c r="E12" s="398">
        <v>12</v>
      </c>
      <c r="F12" s="398">
        <v>29</v>
      </c>
      <c r="G12" s="398">
        <v>2</v>
      </c>
      <c r="H12" s="398">
        <v>2</v>
      </c>
      <c r="I12" s="398">
        <v>3</v>
      </c>
      <c r="J12" s="398"/>
      <c r="K12" s="399">
        <v>142</v>
      </c>
      <c r="L12" s="398"/>
      <c r="M12" s="398"/>
      <c r="N12" s="398"/>
      <c r="O12" s="398"/>
      <c r="P12" s="399"/>
      <c r="Q12" s="398"/>
      <c r="R12" s="398"/>
      <c r="S12" s="398"/>
      <c r="T12" s="399"/>
      <c r="U12" s="398"/>
      <c r="V12" s="398"/>
      <c r="W12" s="398"/>
      <c r="X12" s="398"/>
      <c r="Y12" s="398"/>
      <c r="Z12" s="398"/>
      <c r="AA12" s="399"/>
      <c r="AB12" s="398">
        <v>142</v>
      </c>
    </row>
    <row r="13" spans="1:28" x14ac:dyDescent="0.5">
      <c r="A13" s="400" t="s">
        <v>93</v>
      </c>
      <c r="B13" s="398">
        <v>323</v>
      </c>
      <c r="C13" s="398">
        <v>146</v>
      </c>
      <c r="D13" s="398">
        <v>91</v>
      </c>
      <c r="E13" s="398">
        <v>21</v>
      </c>
      <c r="F13" s="398">
        <v>8</v>
      </c>
      <c r="G13" s="398"/>
      <c r="H13" s="398"/>
      <c r="I13" s="398"/>
      <c r="J13" s="398"/>
      <c r="K13" s="399">
        <v>589</v>
      </c>
      <c r="L13" s="398">
        <v>49</v>
      </c>
      <c r="M13" s="398">
        <v>1</v>
      </c>
      <c r="N13" s="398"/>
      <c r="O13" s="398">
        <v>1</v>
      </c>
      <c r="P13" s="399">
        <v>51</v>
      </c>
      <c r="Q13" s="398"/>
      <c r="R13" s="398"/>
      <c r="S13" s="398"/>
      <c r="T13" s="399"/>
      <c r="U13" s="398">
        <v>2</v>
      </c>
      <c r="V13" s="398">
        <v>1</v>
      </c>
      <c r="W13" s="398"/>
      <c r="X13" s="398"/>
      <c r="Y13" s="398"/>
      <c r="Z13" s="398"/>
      <c r="AA13" s="399">
        <v>3</v>
      </c>
      <c r="AB13" s="398">
        <v>643</v>
      </c>
    </row>
    <row r="14" spans="1:28" x14ac:dyDescent="0.5">
      <c r="A14" s="400" t="s">
        <v>94</v>
      </c>
      <c r="B14" s="398">
        <v>37</v>
      </c>
      <c r="C14" s="398"/>
      <c r="D14" s="398"/>
      <c r="E14" s="398"/>
      <c r="F14" s="398"/>
      <c r="G14" s="398"/>
      <c r="H14" s="398"/>
      <c r="I14" s="398"/>
      <c r="J14" s="398"/>
      <c r="K14" s="399">
        <v>37</v>
      </c>
      <c r="L14" s="398"/>
      <c r="M14" s="398"/>
      <c r="N14" s="398"/>
      <c r="O14" s="398"/>
      <c r="P14" s="399"/>
      <c r="Q14" s="398"/>
      <c r="R14" s="398"/>
      <c r="S14" s="398"/>
      <c r="T14" s="399"/>
      <c r="U14" s="398"/>
      <c r="V14" s="398"/>
      <c r="W14" s="398"/>
      <c r="X14" s="398"/>
      <c r="Y14" s="398"/>
      <c r="Z14" s="398"/>
      <c r="AA14" s="399"/>
      <c r="AB14" s="398">
        <v>37</v>
      </c>
    </row>
    <row r="15" spans="1:28" x14ac:dyDescent="0.5">
      <c r="A15" s="400" t="s">
        <v>96</v>
      </c>
      <c r="B15" s="398">
        <v>162</v>
      </c>
      <c r="C15" s="398">
        <v>73</v>
      </c>
      <c r="D15" s="398">
        <v>113</v>
      </c>
      <c r="E15" s="398">
        <v>53</v>
      </c>
      <c r="F15" s="398">
        <v>41</v>
      </c>
      <c r="G15" s="398">
        <v>15</v>
      </c>
      <c r="H15" s="398">
        <v>2</v>
      </c>
      <c r="I15" s="398">
        <v>4</v>
      </c>
      <c r="J15" s="398"/>
      <c r="K15" s="399">
        <v>463</v>
      </c>
      <c r="L15" s="398">
        <v>56</v>
      </c>
      <c r="M15" s="398">
        <v>1</v>
      </c>
      <c r="N15" s="398"/>
      <c r="O15" s="398"/>
      <c r="P15" s="399">
        <v>57</v>
      </c>
      <c r="Q15" s="398"/>
      <c r="R15" s="398"/>
      <c r="S15" s="398"/>
      <c r="T15" s="399"/>
      <c r="U15" s="398"/>
      <c r="V15" s="398">
        <v>4</v>
      </c>
      <c r="W15" s="398">
        <v>1</v>
      </c>
      <c r="X15" s="398">
        <v>1</v>
      </c>
      <c r="Y15" s="398">
        <v>1</v>
      </c>
      <c r="Z15" s="398"/>
      <c r="AA15" s="399">
        <v>7</v>
      </c>
      <c r="AB15" s="398">
        <v>527</v>
      </c>
    </row>
    <row r="16" spans="1:28" x14ac:dyDescent="0.5">
      <c r="A16" s="400" t="s">
        <v>97</v>
      </c>
      <c r="B16" s="398"/>
      <c r="C16" s="398">
        <v>11</v>
      </c>
      <c r="D16" s="398">
        <v>19</v>
      </c>
      <c r="E16" s="398">
        <v>1</v>
      </c>
      <c r="F16" s="398"/>
      <c r="G16" s="398">
        <v>1</v>
      </c>
      <c r="H16" s="398"/>
      <c r="I16" s="398"/>
      <c r="J16" s="398"/>
      <c r="K16" s="399">
        <v>32</v>
      </c>
      <c r="L16" s="398"/>
      <c r="M16" s="398"/>
      <c r="N16" s="398"/>
      <c r="O16" s="398"/>
      <c r="P16" s="399"/>
      <c r="Q16" s="398"/>
      <c r="R16" s="398"/>
      <c r="S16" s="398"/>
      <c r="T16" s="399"/>
      <c r="U16" s="398"/>
      <c r="V16" s="398"/>
      <c r="W16" s="398"/>
      <c r="X16" s="398"/>
      <c r="Y16" s="398"/>
      <c r="Z16" s="398"/>
      <c r="AA16" s="399"/>
      <c r="AB16" s="398">
        <v>32</v>
      </c>
    </row>
    <row r="17" spans="1:28" x14ac:dyDescent="0.5">
      <c r="A17" s="400" t="s">
        <v>101</v>
      </c>
      <c r="B17" s="398">
        <v>10</v>
      </c>
      <c r="C17" s="398">
        <v>23</v>
      </c>
      <c r="D17" s="398">
        <v>21</v>
      </c>
      <c r="E17" s="398">
        <v>7</v>
      </c>
      <c r="F17" s="398">
        <v>4</v>
      </c>
      <c r="G17" s="398"/>
      <c r="H17" s="398"/>
      <c r="I17" s="398"/>
      <c r="J17" s="398"/>
      <c r="K17" s="399">
        <v>65</v>
      </c>
      <c r="L17" s="398">
        <v>8</v>
      </c>
      <c r="M17" s="398"/>
      <c r="N17" s="398"/>
      <c r="O17" s="398"/>
      <c r="P17" s="399">
        <v>8</v>
      </c>
      <c r="Q17" s="398"/>
      <c r="R17" s="398"/>
      <c r="S17" s="398"/>
      <c r="T17" s="399"/>
      <c r="U17" s="398"/>
      <c r="V17" s="398"/>
      <c r="W17" s="398"/>
      <c r="X17" s="398"/>
      <c r="Y17" s="398"/>
      <c r="Z17" s="398">
        <v>1</v>
      </c>
      <c r="AA17" s="399">
        <v>1</v>
      </c>
      <c r="AB17" s="398">
        <v>74</v>
      </c>
    </row>
    <row r="18" spans="1:28" x14ac:dyDescent="0.5">
      <c r="A18" s="400" t="s">
        <v>102</v>
      </c>
      <c r="B18" s="398">
        <v>18</v>
      </c>
      <c r="C18" s="398">
        <v>6</v>
      </c>
      <c r="D18" s="398">
        <v>6</v>
      </c>
      <c r="E18" s="398">
        <v>1</v>
      </c>
      <c r="F18" s="398"/>
      <c r="G18" s="398"/>
      <c r="H18" s="398">
        <v>1</v>
      </c>
      <c r="I18" s="398"/>
      <c r="J18" s="398"/>
      <c r="K18" s="399">
        <v>32</v>
      </c>
      <c r="L18" s="398">
        <v>1</v>
      </c>
      <c r="M18" s="398"/>
      <c r="N18" s="398"/>
      <c r="O18" s="398"/>
      <c r="P18" s="399">
        <v>1</v>
      </c>
      <c r="Q18" s="398"/>
      <c r="R18" s="398"/>
      <c r="S18" s="398"/>
      <c r="T18" s="399"/>
      <c r="U18" s="398"/>
      <c r="V18" s="398"/>
      <c r="W18" s="398"/>
      <c r="X18" s="398"/>
      <c r="Y18" s="398"/>
      <c r="Z18" s="398"/>
      <c r="AA18" s="399"/>
      <c r="AB18" s="398">
        <v>33</v>
      </c>
    </row>
    <row r="19" spans="1:28" x14ac:dyDescent="0.5">
      <c r="A19" s="400" t="s">
        <v>103</v>
      </c>
      <c r="B19" s="398">
        <v>54</v>
      </c>
      <c r="C19" s="398">
        <v>46</v>
      </c>
      <c r="D19" s="398">
        <v>70</v>
      </c>
      <c r="E19" s="398">
        <v>12</v>
      </c>
      <c r="F19" s="398">
        <v>8</v>
      </c>
      <c r="G19" s="398">
        <v>3</v>
      </c>
      <c r="H19" s="398"/>
      <c r="I19" s="398">
        <v>3</v>
      </c>
      <c r="J19" s="398">
        <v>1</v>
      </c>
      <c r="K19" s="399">
        <v>197</v>
      </c>
      <c r="L19" s="398">
        <v>9</v>
      </c>
      <c r="M19" s="398"/>
      <c r="N19" s="398"/>
      <c r="O19" s="398"/>
      <c r="P19" s="399">
        <v>9</v>
      </c>
      <c r="Q19" s="398"/>
      <c r="R19" s="398"/>
      <c r="S19" s="398"/>
      <c r="T19" s="399"/>
      <c r="U19" s="398"/>
      <c r="V19" s="398"/>
      <c r="W19" s="398"/>
      <c r="X19" s="398"/>
      <c r="Y19" s="398"/>
      <c r="Z19" s="398"/>
      <c r="AA19" s="399"/>
      <c r="AB19" s="398">
        <v>206</v>
      </c>
    </row>
    <row r="20" spans="1:28" x14ac:dyDescent="0.5">
      <c r="A20" s="400" t="s">
        <v>119</v>
      </c>
      <c r="B20" s="398">
        <v>51</v>
      </c>
      <c r="C20" s="398">
        <v>44</v>
      </c>
      <c r="D20" s="398">
        <v>36</v>
      </c>
      <c r="E20" s="398">
        <v>26</v>
      </c>
      <c r="F20" s="398">
        <v>15</v>
      </c>
      <c r="G20" s="398">
        <v>6</v>
      </c>
      <c r="H20" s="398">
        <v>2</v>
      </c>
      <c r="I20" s="398">
        <v>1</v>
      </c>
      <c r="J20" s="398"/>
      <c r="K20" s="399">
        <v>181</v>
      </c>
      <c r="L20" s="398">
        <v>8</v>
      </c>
      <c r="M20" s="398"/>
      <c r="N20" s="398">
        <v>1</v>
      </c>
      <c r="O20" s="398"/>
      <c r="P20" s="399">
        <v>9</v>
      </c>
      <c r="Q20" s="398"/>
      <c r="R20" s="398"/>
      <c r="S20" s="398"/>
      <c r="T20" s="399"/>
      <c r="U20" s="398">
        <v>3</v>
      </c>
      <c r="V20" s="398"/>
      <c r="W20" s="398"/>
      <c r="X20" s="398"/>
      <c r="Y20" s="398"/>
      <c r="Z20" s="398"/>
      <c r="AA20" s="399">
        <v>3</v>
      </c>
      <c r="AB20" s="398">
        <v>193</v>
      </c>
    </row>
    <row r="21" spans="1:28" x14ac:dyDescent="0.5">
      <c r="A21" s="400" t="s">
        <v>105</v>
      </c>
      <c r="B21" s="398">
        <v>49</v>
      </c>
      <c r="C21" s="398">
        <v>346</v>
      </c>
      <c r="D21" s="398">
        <v>53</v>
      </c>
      <c r="E21" s="398">
        <v>2</v>
      </c>
      <c r="F21" s="398"/>
      <c r="G21" s="398">
        <v>1</v>
      </c>
      <c r="H21" s="398"/>
      <c r="I21" s="398"/>
      <c r="J21" s="398"/>
      <c r="K21" s="399">
        <v>451</v>
      </c>
      <c r="L21" s="398"/>
      <c r="M21" s="398">
        <v>1</v>
      </c>
      <c r="N21" s="398"/>
      <c r="O21" s="398"/>
      <c r="P21" s="399">
        <v>1</v>
      </c>
      <c r="Q21" s="398"/>
      <c r="R21" s="398"/>
      <c r="S21" s="398"/>
      <c r="T21" s="399"/>
      <c r="U21" s="398"/>
      <c r="V21" s="398"/>
      <c r="W21" s="398"/>
      <c r="X21" s="398"/>
      <c r="Y21" s="398"/>
      <c r="Z21" s="398"/>
      <c r="AA21" s="399"/>
      <c r="AB21" s="398">
        <v>452</v>
      </c>
    </row>
    <row r="22" spans="1:28" x14ac:dyDescent="0.5">
      <c r="A22" s="400" t="s">
        <v>106</v>
      </c>
      <c r="B22" s="398">
        <v>19</v>
      </c>
      <c r="C22" s="398">
        <v>20</v>
      </c>
      <c r="D22" s="398">
        <v>22</v>
      </c>
      <c r="E22" s="398">
        <v>15</v>
      </c>
      <c r="F22" s="398"/>
      <c r="G22" s="398">
        <v>1</v>
      </c>
      <c r="H22" s="398"/>
      <c r="I22" s="398"/>
      <c r="J22" s="398"/>
      <c r="K22" s="399">
        <v>77</v>
      </c>
      <c r="L22" s="398">
        <v>8</v>
      </c>
      <c r="M22" s="398"/>
      <c r="N22" s="398"/>
      <c r="O22" s="398"/>
      <c r="P22" s="399">
        <v>8</v>
      </c>
      <c r="Q22" s="398"/>
      <c r="R22" s="398"/>
      <c r="S22" s="398"/>
      <c r="T22" s="399"/>
      <c r="U22" s="398"/>
      <c r="V22" s="398">
        <v>1</v>
      </c>
      <c r="W22" s="398"/>
      <c r="X22" s="398"/>
      <c r="Y22" s="398"/>
      <c r="Z22" s="398"/>
      <c r="AA22" s="399">
        <v>1</v>
      </c>
      <c r="AB22" s="398">
        <v>86</v>
      </c>
    </row>
    <row r="23" spans="1:28" x14ac:dyDescent="0.5">
      <c r="A23" s="400" t="s">
        <v>120</v>
      </c>
      <c r="B23" s="398">
        <v>127</v>
      </c>
      <c r="C23" s="398">
        <v>168</v>
      </c>
      <c r="D23" s="398">
        <v>193</v>
      </c>
      <c r="E23" s="398">
        <v>41</v>
      </c>
      <c r="F23" s="398">
        <v>20</v>
      </c>
      <c r="G23" s="398">
        <v>6</v>
      </c>
      <c r="H23" s="398"/>
      <c r="I23" s="398"/>
      <c r="J23" s="398"/>
      <c r="K23" s="399">
        <v>555</v>
      </c>
      <c r="L23" s="398">
        <v>20</v>
      </c>
      <c r="M23" s="398">
        <v>3</v>
      </c>
      <c r="N23" s="398">
        <v>1</v>
      </c>
      <c r="O23" s="398">
        <v>1</v>
      </c>
      <c r="P23" s="399">
        <v>25</v>
      </c>
      <c r="Q23" s="398">
        <v>3</v>
      </c>
      <c r="R23" s="398">
        <v>1</v>
      </c>
      <c r="S23" s="398"/>
      <c r="T23" s="399">
        <v>4</v>
      </c>
      <c r="U23" s="398">
        <v>2</v>
      </c>
      <c r="V23" s="398">
        <v>4</v>
      </c>
      <c r="W23" s="398"/>
      <c r="X23" s="398">
        <v>1</v>
      </c>
      <c r="Y23" s="398"/>
      <c r="Z23" s="398"/>
      <c r="AA23" s="399">
        <v>7</v>
      </c>
      <c r="AB23" s="398">
        <v>591</v>
      </c>
    </row>
    <row r="24" spans="1:28" x14ac:dyDescent="0.5">
      <c r="A24" s="400" t="s">
        <v>107</v>
      </c>
      <c r="B24" s="398">
        <v>8</v>
      </c>
      <c r="C24" s="398">
        <v>8</v>
      </c>
      <c r="D24" s="398">
        <v>11</v>
      </c>
      <c r="E24" s="398">
        <v>13</v>
      </c>
      <c r="F24" s="398">
        <v>1</v>
      </c>
      <c r="G24" s="398"/>
      <c r="H24" s="398"/>
      <c r="I24" s="398"/>
      <c r="J24" s="398"/>
      <c r="K24" s="399">
        <v>41</v>
      </c>
      <c r="L24" s="398">
        <v>6</v>
      </c>
      <c r="M24" s="398"/>
      <c r="N24" s="398"/>
      <c r="O24" s="398"/>
      <c r="P24" s="399">
        <v>6</v>
      </c>
      <c r="Q24" s="398"/>
      <c r="R24" s="398"/>
      <c r="S24" s="398"/>
      <c r="T24" s="399"/>
      <c r="U24" s="398">
        <v>2</v>
      </c>
      <c r="V24" s="398"/>
      <c r="W24" s="398"/>
      <c r="X24" s="398"/>
      <c r="Y24" s="398"/>
      <c r="Z24" s="398"/>
      <c r="AA24" s="399">
        <v>2</v>
      </c>
      <c r="AB24" s="398">
        <v>49</v>
      </c>
    </row>
    <row r="25" spans="1:28" x14ac:dyDescent="0.5">
      <c r="A25" s="397" t="s">
        <v>144</v>
      </c>
      <c r="B25" s="398"/>
      <c r="C25" s="398"/>
      <c r="D25" s="398"/>
      <c r="E25" s="398"/>
      <c r="F25" s="398"/>
      <c r="G25" s="398"/>
      <c r="H25" s="398"/>
      <c r="I25" s="398"/>
      <c r="J25" s="398"/>
      <c r="K25" s="399"/>
      <c r="L25" s="398"/>
      <c r="M25" s="398"/>
      <c r="N25" s="398"/>
      <c r="O25" s="398"/>
      <c r="P25" s="399"/>
      <c r="Q25" s="398"/>
      <c r="R25" s="398"/>
      <c r="S25" s="398"/>
      <c r="T25" s="399"/>
      <c r="U25" s="398"/>
      <c r="V25" s="398"/>
      <c r="W25" s="398"/>
      <c r="X25" s="398"/>
      <c r="Y25" s="398"/>
      <c r="Z25" s="398"/>
      <c r="AA25" s="399"/>
      <c r="AB25" s="398"/>
    </row>
    <row r="26" spans="1:28" x14ac:dyDescent="0.5">
      <c r="A26" s="400" t="s">
        <v>105</v>
      </c>
      <c r="B26" s="398"/>
      <c r="C26" s="398">
        <v>72</v>
      </c>
      <c r="D26" s="398">
        <v>1</v>
      </c>
      <c r="E26" s="398"/>
      <c r="F26" s="398"/>
      <c r="G26" s="398"/>
      <c r="H26" s="398"/>
      <c r="I26" s="398"/>
      <c r="J26" s="398"/>
      <c r="K26" s="399">
        <v>73</v>
      </c>
      <c r="L26" s="398"/>
      <c r="M26" s="398"/>
      <c r="N26" s="398"/>
      <c r="O26" s="398"/>
      <c r="P26" s="399"/>
      <c r="Q26" s="398"/>
      <c r="R26" s="398"/>
      <c r="S26" s="398"/>
      <c r="T26" s="399"/>
      <c r="U26" s="398"/>
      <c r="V26" s="398"/>
      <c r="W26" s="398"/>
      <c r="X26" s="398"/>
      <c r="Y26" s="398"/>
      <c r="Z26" s="398"/>
      <c r="AA26" s="399"/>
      <c r="AB26" s="398">
        <v>73</v>
      </c>
    </row>
    <row r="27" spans="1:28" x14ac:dyDescent="0.5">
      <c r="A27" s="400" t="s">
        <v>107</v>
      </c>
      <c r="B27" s="398"/>
      <c r="C27" s="398"/>
      <c r="D27" s="398"/>
      <c r="E27" s="398"/>
      <c r="F27" s="398">
        <v>30</v>
      </c>
      <c r="G27" s="398">
        <v>1</v>
      </c>
      <c r="H27" s="398"/>
      <c r="I27" s="398"/>
      <c r="J27" s="398"/>
      <c r="K27" s="399">
        <v>31</v>
      </c>
      <c r="L27" s="398"/>
      <c r="M27" s="398"/>
      <c r="N27" s="398"/>
      <c r="O27" s="398"/>
      <c r="P27" s="399"/>
      <c r="Q27" s="398"/>
      <c r="R27" s="398"/>
      <c r="S27" s="398"/>
      <c r="T27" s="399"/>
      <c r="U27" s="398"/>
      <c r="V27" s="398"/>
      <c r="W27" s="398"/>
      <c r="X27" s="398"/>
      <c r="Y27" s="398"/>
      <c r="Z27" s="398"/>
      <c r="AA27" s="399"/>
      <c r="AB27" s="398">
        <v>31</v>
      </c>
    </row>
    <row r="28" spans="1:28" x14ac:dyDescent="0.5">
      <c r="A28" s="397" t="s">
        <v>146</v>
      </c>
      <c r="B28" s="398"/>
      <c r="C28" s="398"/>
      <c r="D28" s="398"/>
      <c r="E28" s="398"/>
      <c r="F28" s="398"/>
      <c r="G28" s="398"/>
      <c r="H28" s="398"/>
      <c r="I28" s="398"/>
      <c r="J28" s="398"/>
      <c r="K28" s="399"/>
      <c r="L28" s="398"/>
      <c r="M28" s="398"/>
      <c r="N28" s="398"/>
      <c r="O28" s="398"/>
      <c r="P28" s="399"/>
      <c r="Q28" s="398"/>
      <c r="R28" s="398"/>
      <c r="S28" s="398"/>
      <c r="T28" s="399"/>
      <c r="U28" s="398"/>
      <c r="V28" s="398"/>
      <c r="W28" s="398"/>
      <c r="X28" s="398"/>
      <c r="Y28" s="398"/>
      <c r="Z28" s="398"/>
      <c r="AA28" s="399"/>
      <c r="AB28" s="398"/>
    </row>
    <row r="29" spans="1:28" x14ac:dyDescent="0.5">
      <c r="A29" s="400" t="s">
        <v>105</v>
      </c>
      <c r="B29" s="398"/>
      <c r="C29" s="398">
        <v>72</v>
      </c>
      <c r="D29" s="398">
        <v>7</v>
      </c>
      <c r="E29" s="398"/>
      <c r="F29" s="398"/>
      <c r="G29" s="398"/>
      <c r="H29" s="398"/>
      <c r="I29" s="398"/>
      <c r="J29" s="398"/>
      <c r="K29" s="399">
        <v>79</v>
      </c>
      <c r="L29" s="398"/>
      <c r="M29" s="398"/>
      <c r="N29" s="398"/>
      <c r="O29" s="398"/>
      <c r="P29" s="399"/>
      <c r="Q29" s="398"/>
      <c r="R29" s="398"/>
      <c r="S29" s="398"/>
      <c r="T29" s="399"/>
      <c r="U29" s="398"/>
      <c r="V29" s="398"/>
      <c r="W29" s="398"/>
      <c r="X29" s="398"/>
      <c r="Y29" s="398"/>
      <c r="Z29" s="398"/>
      <c r="AA29" s="399"/>
      <c r="AB29" s="398">
        <v>79</v>
      </c>
    </row>
    <row r="30" spans="1:28" x14ac:dyDescent="0.5">
      <c r="A30" s="397" t="s">
        <v>148</v>
      </c>
      <c r="B30" s="398"/>
      <c r="C30" s="398"/>
      <c r="D30" s="398"/>
      <c r="E30" s="398"/>
      <c r="F30" s="398"/>
      <c r="G30" s="398"/>
      <c r="H30" s="398"/>
      <c r="I30" s="398"/>
      <c r="J30" s="398"/>
      <c r="K30" s="399"/>
      <c r="L30" s="398"/>
      <c r="M30" s="398"/>
      <c r="N30" s="398"/>
      <c r="O30" s="398"/>
      <c r="P30" s="399"/>
      <c r="Q30" s="398"/>
      <c r="R30" s="398"/>
      <c r="S30" s="398"/>
      <c r="T30" s="399"/>
      <c r="U30" s="398"/>
      <c r="V30" s="398"/>
      <c r="W30" s="398"/>
      <c r="X30" s="398"/>
      <c r="Y30" s="398"/>
      <c r="Z30" s="398"/>
      <c r="AA30" s="399"/>
      <c r="AB30" s="398"/>
    </row>
    <row r="31" spans="1:28" x14ac:dyDescent="0.5">
      <c r="A31" s="400" t="s">
        <v>105</v>
      </c>
      <c r="B31" s="398"/>
      <c r="C31" s="398">
        <v>73</v>
      </c>
      <c r="D31" s="398"/>
      <c r="E31" s="398"/>
      <c r="F31" s="398"/>
      <c r="G31" s="398"/>
      <c r="H31" s="398"/>
      <c r="I31" s="398"/>
      <c r="J31" s="398"/>
      <c r="K31" s="399">
        <v>73</v>
      </c>
      <c r="L31" s="398"/>
      <c r="M31" s="398"/>
      <c r="N31" s="398"/>
      <c r="O31" s="398"/>
      <c r="P31" s="399"/>
      <c r="Q31" s="398"/>
      <c r="R31" s="398"/>
      <c r="S31" s="398"/>
      <c r="T31" s="399"/>
      <c r="U31" s="398"/>
      <c r="V31" s="398"/>
      <c r="W31" s="398"/>
      <c r="X31" s="398"/>
      <c r="Y31" s="398"/>
      <c r="Z31" s="398"/>
      <c r="AA31" s="399"/>
      <c r="AB31" s="398">
        <v>73</v>
      </c>
    </row>
    <row r="32" spans="1:28" x14ac:dyDescent="0.5">
      <c r="A32" s="401" t="s">
        <v>109</v>
      </c>
      <c r="B32" s="402">
        <v>986</v>
      </c>
      <c r="C32" s="402">
        <v>1244</v>
      </c>
      <c r="D32" s="402">
        <v>743</v>
      </c>
      <c r="E32" s="402">
        <v>245</v>
      </c>
      <c r="F32" s="402">
        <v>164</v>
      </c>
      <c r="G32" s="402">
        <v>41</v>
      </c>
      <c r="H32" s="402">
        <v>9</v>
      </c>
      <c r="I32" s="402">
        <v>11</v>
      </c>
      <c r="J32" s="402">
        <v>1</v>
      </c>
      <c r="K32" s="402">
        <v>3444</v>
      </c>
      <c r="L32" s="402">
        <v>185</v>
      </c>
      <c r="M32" s="402">
        <v>9</v>
      </c>
      <c r="N32" s="402">
        <v>3</v>
      </c>
      <c r="O32" s="402">
        <v>2</v>
      </c>
      <c r="P32" s="402">
        <v>199</v>
      </c>
      <c r="Q32" s="402">
        <v>3</v>
      </c>
      <c r="R32" s="402">
        <v>2</v>
      </c>
      <c r="S32" s="402">
        <v>1</v>
      </c>
      <c r="T32" s="402">
        <v>6</v>
      </c>
      <c r="U32" s="402">
        <v>10</v>
      </c>
      <c r="V32" s="402">
        <v>12</v>
      </c>
      <c r="W32" s="402">
        <v>1</v>
      </c>
      <c r="X32" s="402">
        <v>2</v>
      </c>
      <c r="Y32" s="402">
        <v>1</v>
      </c>
      <c r="Z32" s="402">
        <v>1</v>
      </c>
      <c r="AA32" s="402">
        <v>27</v>
      </c>
      <c r="AB32" s="402">
        <v>3676</v>
      </c>
    </row>
    <row r="34" spans="1:28" x14ac:dyDescent="0.5">
      <c r="AB34" s="119" t="s">
        <v>141</v>
      </c>
    </row>
    <row r="35" spans="1:28" x14ac:dyDescent="0.5">
      <c r="AB35" s="119" t="s">
        <v>142</v>
      </c>
    </row>
    <row r="36" spans="1:28" ht="33" x14ac:dyDescent="0.75">
      <c r="A36" s="386" t="s">
        <v>150</v>
      </c>
      <c r="B36" s="386"/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6"/>
      <c r="Q36" s="386"/>
      <c r="R36" s="386"/>
      <c r="S36" s="386"/>
      <c r="T36" s="386"/>
      <c r="U36" s="386"/>
      <c r="V36" s="111"/>
      <c r="W36" s="111"/>
      <c r="X36" s="111"/>
      <c r="Y36" s="111"/>
      <c r="Z36" s="111"/>
      <c r="AA36" s="111"/>
      <c r="AB36" s="111"/>
    </row>
    <row r="37" spans="1:28" x14ac:dyDescent="0.5">
      <c r="A37" s="408" t="s">
        <v>73</v>
      </c>
      <c r="B37" s="391" t="s">
        <v>74</v>
      </c>
      <c r="C37" s="391"/>
      <c r="D37" s="391"/>
      <c r="E37" s="391"/>
      <c r="F37" s="391"/>
      <c r="G37" s="391"/>
      <c r="H37" s="392" t="s">
        <v>85</v>
      </c>
      <c r="I37" s="393" t="s">
        <v>125</v>
      </c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4" t="s">
        <v>76</v>
      </c>
      <c r="V37" s="111"/>
      <c r="W37" s="111"/>
      <c r="X37" s="111"/>
      <c r="Y37" s="111"/>
      <c r="Z37" s="111"/>
      <c r="AA37" s="111"/>
      <c r="AB37" s="111"/>
    </row>
    <row r="38" spans="1:28" x14ac:dyDescent="0.5">
      <c r="A38" s="408"/>
      <c r="B38" s="391"/>
      <c r="C38" s="391"/>
      <c r="D38" s="391"/>
      <c r="E38" s="391"/>
      <c r="F38" s="391"/>
      <c r="G38" s="391"/>
      <c r="H38" s="392"/>
      <c r="I38" s="395" t="s">
        <v>7</v>
      </c>
      <c r="J38" s="395"/>
      <c r="K38" s="395"/>
      <c r="L38" s="395"/>
      <c r="M38" s="395"/>
      <c r="N38" s="395"/>
      <c r="O38" s="392" t="s">
        <v>85</v>
      </c>
      <c r="P38" s="396" t="s">
        <v>9</v>
      </c>
      <c r="Q38" s="392" t="s">
        <v>85</v>
      </c>
      <c r="R38" s="395" t="s">
        <v>11</v>
      </c>
      <c r="S38" s="395"/>
      <c r="T38" s="392" t="s">
        <v>85</v>
      </c>
      <c r="U38" s="394"/>
      <c r="V38" s="111"/>
      <c r="W38" s="111"/>
      <c r="X38" s="111"/>
      <c r="Y38" s="111"/>
      <c r="Z38" s="111"/>
      <c r="AA38" s="111"/>
      <c r="AB38" s="111"/>
    </row>
    <row r="39" spans="1:28" x14ac:dyDescent="0.5">
      <c r="A39" s="408"/>
      <c r="B39" s="396" t="s">
        <v>78</v>
      </c>
      <c r="C39" s="396" t="s">
        <v>79</v>
      </c>
      <c r="D39" s="396" t="s">
        <v>80</v>
      </c>
      <c r="E39" s="396" t="s">
        <v>81</v>
      </c>
      <c r="F39" s="396" t="s">
        <v>82</v>
      </c>
      <c r="G39" s="396" t="s">
        <v>83</v>
      </c>
      <c r="H39" s="392"/>
      <c r="I39" s="396" t="s">
        <v>78</v>
      </c>
      <c r="J39" s="396" t="s">
        <v>79</v>
      </c>
      <c r="K39" s="396" t="s">
        <v>80</v>
      </c>
      <c r="L39" s="396" t="s">
        <v>81</v>
      </c>
      <c r="M39" s="396" t="s">
        <v>82</v>
      </c>
      <c r="N39" s="396" t="s">
        <v>83</v>
      </c>
      <c r="O39" s="392"/>
      <c r="P39" s="396" t="s">
        <v>78</v>
      </c>
      <c r="Q39" s="392"/>
      <c r="R39" s="396" t="s">
        <v>78</v>
      </c>
      <c r="S39" s="396" t="s">
        <v>80</v>
      </c>
      <c r="T39" s="392"/>
      <c r="U39" s="394"/>
      <c r="V39" s="111"/>
      <c r="W39" s="111"/>
      <c r="X39" s="111"/>
      <c r="Y39" s="111"/>
      <c r="Z39" s="111"/>
      <c r="AA39" s="111"/>
      <c r="AB39" s="111"/>
    </row>
    <row r="40" spans="1:28" x14ac:dyDescent="0.5">
      <c r="A40" s="387" t="s">
        <v>129</v>
      </c>
      <c r="B40" s="388"/>
      <c r="C40" s="388"/>
      <c r="D40" s="388"/>
      <c r="E40" s="388"/>
      <c r="F40" s="388"/>
      <c r="G40" s="388"/>
      <c r="H40" s="389"/>
      <c r="I40" s="388"/>
      <c r="J40" s="388"/>
      <c r="K40" s="388"/>
      <c r="L40" s="388"/>
      <c r="M40" s="388"/>
      <c r="N40" s="388"/>
      <c r="O40" s="389"/>
      <c r="P40" s="388"/>
      <c r="Q40" s="389"/>
      <c r="R40" s="388"/>
      <c r="S40" s="388"/>
      <c r="T40" s="389"/>
      <c r="U40" s="390"/>
      <c r="V40" s="111"/>
      <c r="W40" s="111"/>
      <c r="X40" s="111"/>
      <c r="Y40" s="111"/>
      <c r="Z40" s="111"/>
      <c r="AA40" s="111"/>
      <c r="AB40" s="111"/>
    </row>
    <row r="41" spans="1:28" x14ac:dyDescent="0.5">
      <c r="A41" s="371" t="s">
        <v>90</v>
      </c>
      <c r="B41" s="372">
        <v>455</v>
      </c>
      <c r="C41" s="372">
        <v>674</v>
      </c>
      <c r="D41" s="372">
        <v>26</v>
      </c>
      <c r="E41" s="372">
        <v>2</v>
      </c>
      <c r="F41" s="372"/>
      <c r="G41" s="372"/>
      <c r="H41" s="373">
        <v>1157</v>
      </c>
      <c r="I41" s="372">
        <v>17</v>
      </c>
      <c r="J41" s="372">
        <v>10</v>
      </c>
      <c r="K41" s="372">
        <v>3</v>
      </c>
      <c r="L41" s="372">
        <v>2</v>
      </c>
      <c r="M41" s="372"/>
      <c r="N41" s="372"/>
      <c r="O41" s="373">
        <v>32</v>
      </c>
      <c r="P41" s="372">
        <v>27</v>
      </c>
      <c r="Q41" s="373">
        <v>27</v>
      </c>
      <c r="R41" s="372">
        <v>4</v>
      </c>
      <c r="S41" s="372">
        <v>2</v>
      </c>
      <c r="T41" s="373">
        <v>6</v>
      </c>
      <c r="U41" s="374">
        <v>1222</v>
      </c>
      <c r="V41" s="111"/>
      <c r="W41" s="111"/>
      <c r="X41" s="111"/>
      <c r="Y41" s="111"/>
      <c r="Z41" s="111"/>
      <c r="AA41" s="111"/>
      <c r="AB41" s="111"/>
    </row>
    <row r="42" spans="1:28" x14ac:dyDescent="0.5">
      <c r="A42" s="371" t="s">
        <v>96</v>
      </c>
      <c r="B42" s="372">
        <v>45</v>
      </c>
      <c r="C42" s="372">
        <v>42</v>
      </c>
      <c r="D42" s="372">
        <v>52</v>
      </c>
      <c r="E42" s="372">
        <v>10</v>
      </c>
      <c r="F42" s="372"/>
      <c r="G42" s="372"/>
      <c r="H42" s="373">
        <v>149</v>
      </c>
      <c r="I42" s="372">
        <v>3</v>
      </c>
      <c r="J42" s="372"/>
      <c r="K42" s="372">
        <v>3</v>
      </c>
      <c r="L42" s="372">
        <v>2</v>
      </c>
      <c r="M42" s="372"/>
      <c r="N42" s="372"/>
      <c r="O42" s="373">
        <v>8</v>
      </c>
      <c r="P42" s="372">
        <v>5</v>
      </c>
      <c r="Q42" s="373">
        <v>5</v>
      </c>
      <c r="R42" s="372"/>
      <c r="S42" s="372">
        <v>1</v>
      </c>
      <c r="T42" s="373">
        <v>1</v>
      </c>
      <c r="U42" s="374">
        <v>163</v>
      </c>
      <c r="V42" s="111"/>
      <c r="W42" s="111"/>
      <c r="X42" s="111"/>
      <c r="Y42" s="111"/>
      <c r="Z42" s="111"/>
      <c r="AA42" s="111"/>
      <c r="AB42" s="111"/>
    </row>
    <row r="43" spans="1:28" x14ac:dyDescent="0.5">
      <c r="A43" s="371" t="s">
        <v>101</v>
      </c>
      <c r="B43" s="372">
        <v>86</v>
      </c>
      <c r="C43" s="372">
        <v>79</v>
      </c>
      <c r="D43" s="372">
        <v>66</v>
      </c>
      <c r="E43" s="372">
        <v>50</v>
      </c>
      <c r="F43" s="372">
        <v>7</v>
      </c>
      <c r="G43" s="372">
        <v>3</v>
      </c>
      <c r="H43" s="373">
        <v>291</v>
      </c>
      <c r="I43" s="372">
        <v>7</v>
      </c>
      <c r="J43" s="372">
        <v>1</v>
      </c>
      <c r="K43" s="372">
        <v>2</v>
      </c>
      <c r="L43" s="372">
        <v>1</v>
      </c>
      <c r="M43" s="372">
        <v>1</v>
      </c>
      <c r="N43" s="372">
        <v>1</v>
      </c>
      <c r="O43" s="373">
        <v>13</v>
      </c>
      <c r="P43" s="372">
        <v>4</v>
      </c>
      <c r="Q43" s="373">
        <v>4</v>
      </c>
      <c r="R43" s="372">
        <v>2</v>
      </c>
      <c r="S43" s="372">
        <v>1</v>
      </c>
      <c r="T43" s="373">
        <v>3</v>
      </c>
      <c r="U43" s="374">
        <v>311</v>
      </c>
      <c r="V43" s="111"/>
      <c r="W43" s="111"/>
      <c r="X43" s="111"/>
      <c r="Y43" s="111"/>
      <c r="Z43" s="111"/>
      <c r="AA43" s="111"/>
      <c r="AB43" s="111"/>
    </row>
    <row r="44" spans="1:28" x14ac:dyDescent="0.5">
      <c r="A44" s="371" t="s">
        <v>105</v>
      </c>
      <c r="B44" s="372">
        <v>151</v>
      </c>
      <c r="C44" s="372"/>
      <c r="D44" s="372"/>
      <c r="E44" s="372"/>
      <c r="F44" s="372"/>
      <c r="G44" s="372"/>
      <c r="H44" s="373">
        <v>151</v>
      </c>
      <c r="I44" s="372">
        <v>4</v>
      </c>
      <c r="J44" s="372"/>
      <c r="K44" s="372"/>
      <c r="L44" s="372"/>
      <c r="M44" s="372"/>
      <c r="N44" s="372"/>
      <c r="O44" s="373">
        <v>4</v>
      </c>
      <c r="P44" s="372"/>
      <c r="Q44" s="373"/>
      <c r="R44" s="372"/>
      <c r="S44" s="372"/>
      <c r="T44" s="373"/>
      <c r="U44" s="374">
        <v>155</v>
      </c>
      <c r="V44" s="111"/>
      <c r="W44" s="111"/>
      <c r="X44" s="111"/>
      <c r="Y44" s="111"/>
      <c r="Z44" s="111"/>
      <c r="AA44" s="111"/>
      <c r="AB44" s="111"/>
    </row>
    <row r="45" spans="1:28" x14ac:dyDescent="0.5">
      <c r="A45" s="375" t="s">
        <v>140</v>
      </c>
      <c r="B45" s="372">
        <v>737</v>
      </c>
      <c r="C45" s="372">
        <v>795</v>
      </c>
      <c r="D45" s="372">
        <v>144</v>
      </c>
      <c r="E45" s="372">
        <v>62</v>
      </c>
      <c r="F45" s="372">
        <v>7</v>
      </c>
      <c r="G45" s="372">
        <v>3</v>
      </c>
      <c r="H45" s="373">
        <v>1748</v>
      </c>
      <c r="I45" s="372">
        <v>31</v>
      </c>
      <c r="J45" s="372">
        <v>11</v>
      </c>
      <c r="K45" s="372">
        <v>8</v>
      </c>
      <c r="L45" s="372">
        <v>5</v>
      </c>
      <c r="M45" s="372">
        <v>1</v>
      </c>
      <c r="N45" s="372">
        <v>1</v>
      </c>
      <c r="O45" s="373">
        <v>57</v>
      </c>
      <c r="P45" s="372">
        <v>36</v>
      </c>
      <c r="Q45" s="373">
        <v>36</v>
      </c>
      <c r="R45" s="372">
        <v>6</v>
      </c>
      <c r="S45" s="372">
        <v>4</v>
      </c>
      <c r="T45" s="373">
        <v>10</v>
      </c>
      <c r="U45" s="374">
        <v>1851</v>
      </c>
      <c r="V45" s="111"/>
      <c r="W45" s="111"/>
      <c r="X45" s="111"/>
      <c r="Y45" s="111"/>
      <c r="Z45" s="111"/>
      <c r="AA45" s="111"/>
      <c r="AB45" s="111"/>
    </row>
    <row r="46" spans="1:28" x14ac:dyDescent="0.5">
      <c r="A46" s="375" t="s">
        <v>146</v>
      </c>
      <c r="B46" s="372"/>
      <c r="C46" s="372"/>
      <c r="D46" s="372"/>
      <c r="E46" s="372"/>
      <c r="F46" s="372"/>
      <c r="G46" s="372"/>
      <c r="H46" s="373"/>
      <c r="I46" s="372"/>
      <c r="J46" s="372"/>
      <c r="K46" s="372"/>
      <c r="L46" s="372"/>
      <c r="M46" s="372"/>
      <c r="N46" s="372"/>
      <c r="O46" s="373"/>
      <c r="P46" s="372"/>
      <c r="Q46" s="373"/>
      <c r="R46" s="372"/>
      <c r="S46" s="372"/>
      <c r="T46" s="373"/>
      <c r="U46" s="374"/>
      <c r="V46" s="111"/>
      <c r="W46" s="111"/>
      <c r="X46" s="111"/>
      <c r="Y46" s="111"/>
      <c r="Z46" s="111"/>
      <c r="AA46" s="111"/>
      <c r="AB46" s="111"/>
    </row>
    <row r="47" spans="1:28" x14ac:dyDescent="0.5">
      <c r="A47" s="371" t="s">
        <v>90</v>
      </c>
      <c r="B47" s="372">
        <v>62</v>
      </c>
      <c r="C47" s="372">
        <v>85</v>
      </c>
      <c r="D47" s="372">
        <v>4</v>
      </c>
      <c r="E47" s="372"/>
      <c r="F47" s="372"/>
      <c r="G47" s="372"/>
      <c r="H47" s="373">
        <v>151</v>
      </c>
      <c r="I47" s="372">
        <v>11</v>
      </c>
      <c r="J47" s="372">
        <v>2</v>
      </c>
      <c r="K47" s="372"/>
      <c r="L47" s="372"/>
      <c r="M47" s="372"/>
      <c r="N47" s="372"/>
      <c r="O47" s="373">
        <v>13</v>
      </c>
      <c r="P47" s="372">
        <v>14</v>
      </c>
      <c r="Q47" s="373">
        <v>14</v>
      </c>
      <c r="R47" s="372">
        <v>2</v>
      </c>
      <c r="S47" s="372"/>
      <c r="T47" s="373">
        <v>2</v>
      </c>
      <c r="U47" s="374">
        <v>180</v>
      </c>
      <c r="V47" s="111"/>
      <c r="W47" s="111"/>
      <c r="X47" s="111"/>
      <c r="Y47" s="111"/>
      <c r="Z47" s="111"/>
      <c r="AA47" s="111"/>
      <c r="AB47" s="111"/>
    </row>
    <row r="48" spans="1:28" x14ac:dyDescent="0.5">
      <c r="A48" s="371" t="s">
        <v>105</v>
      </c>
      <c r="B48" s="372">
        <v>201</v>
      </c>
      <c r="C48" s="372"/>
      <c r="D48" s="372"/>
      <c r="E48" s="372"/>
      <c r="F48" s="372"/>
      <c r="G48" s="372"/>
      <c r="H48" s="373">
        <v>201</v>
      </c>
      <c r="I48" s="372">
        <v>7</v>
      </c>
      <c r="J48" s="372"/>
      <c r="K48" s="372"/>
      <c r="L48" s="372"/>
      <c r="M48" s="372"/>
      <c r="N48" s="372"/>
      <c r="O48" s="373">
        <v>7</v>
      </c>
      <c r="P48" s="372"/>
      <c r="Q48" s="373"/>
      <c r="R48" s="372"/>
      <c r="S48" s="372"/>
      <c r="T48" s="373"/>
      <c r="U48" s="374">
        <v>208</v>
      </c>
      <c r="V48" s="111"/>
      <c r="W48" s="111"/>
      <c r="X48" s="111"/>
      <c r="Y48" s="111"/>
      <c r="Z48" s="111"/>
      <c r="AA48" s="111"/>
      <c r="AB48" s="111"/>
    </row>
    <row r="49" spans="1:28" x14ac:dyDescent="0.5">
      <c r="A49" s="375" t="s">
        <v>147</v>
      </c>
      <c r="B49" s="372">
        <v>263</v>
      </c>
      <c r="C49" s="372">
        <v>85</v>
      </c>
      <c r="D49" s="372">
        <v>4</v>
      </c>
      <c r="E49" s="372"/>
      <c r="F49" s="372"/>
      <c r="G49" s="372"/>
      <c r="H49" s="373">
        <v>352</v>
      </c>
      <c r="I49" s="372">
        <v>18</v>
      </c>
      <c r="J49" s="372">
        <v>2</v>
      </c>
      <c r="K49" s="372"/>
      <c r="L49" s="372"/>
      <c r="M49" s="372"/>
      <c r="N49" s="372"/>
      <c r="O49" s="373">
        <v>20</v>
      </c>
      <c r="P49" s="372">
        <v>14</v>
      </c>
      <c r="Q49" s="373">
        <v>14</v>
      </c>
      <c r="R49" s="372">
        <v>2</v>
      </c>
      <c r="S49" s="372"/>
      <c r="T49" s="373">
        <v>2</v>
      </c>
      <c r="U49" s="374">
        <v>388</v>
      </c>
      <c r="V49" s="111"/>
      <c r="W49" s="111"/>
      <c r="X49" s="111"/>
      <c r="Y49" s="111"/>
      <c r="Z49" s="111"/>
      <c r="AA49" s="111"/>
      <c r="AB49" s="111"/>
    </row>
    <row r="50" spans="1:28" x14ac:dyDescent="0.5">
      <c r="A50" s="375" t="s">
        <v>144</v>
      </c>
      <c r="B50" s="372"/>
      <c r="C50" s="372"/>
      <c r="D50" s="372"/>
      <c r="E50" s="372"/>
      <c r="F50" s="372"/>
      <c r="G50" s="372"/>
      <c r="H50" s="373"/>
      <c r="I50" s="372"/>
      <c r="J50" s="372"/>
      <c r="K50" s="372"/>
      <c r="L50" s="372"/>
      <c r="M50" s="372"/>
      <c r="N50" s="372"/>
      <c r="O50" s="373"/>
      <c r="P50" s="372"/>
      <c r="Q50" s="373"/>
      <c r="R50" s="372"/>
      <c r="S50" s="372"/>
      <c r="T50" s="373"/>
      <c r="U50" s="374"/>
      <c r="V50" s="111"/>
      <c r="W50" s="111"/>
      <c r="X50" s="111"/>
      <c r="Y50" s="111"/>
      <c r="Z50" s="111"/>
      <c r="AA50" s="111"/>
      <c r="AB50" s="111"/>
    </row>
    <row r="51" spans="1:28" x14ac:dyDescent="0.5">
      <c r="A51" s="371" t="s">
        <v>105</v>
      </c>
      <c r="B51" s="372">
        <v>109</v>
      </c>
      <c r="C51" s="372"/>
      <c r="D51" s="372"/>
      <c r="E51" s="372"/>
      <c r="F51" s="372"/>
      <c r="G51" s="372"/>
      <c r="H51" s="373">
        <v>109</v>
      </c>
      <c r="I51" s="372"/>
      <c r="J51" s="372"/>
      <c r="K51" s="372"/>
      <c r="L51" s="372"/>
      <c r="M51" s="372"/>
      <c r="N51" s="372"/>
      <c r="O51" s="373"/>
      <c r="P51" s="372">
        <v>1</v>
      </c>
      <c r="Q51" s="373">
        <v>1</v>
      </c>
      <c r="R51" s="372"/>
      <c r="S51" s="372"/>
      <c r="T51" s="373"/>
      <c r="U51" s="374">
        <v>110</v>
      </c>
      <c r="V51" s="111"/>
      <c r="W51" s="111"/>
      <c r="X51" s="111"/>
      <c r="Y51" s="111"/>
      <c r="Z51" s="111"/>
      <c r="AA51" s="111"/>
      <c r="AB51" s="111"/>
    </row>
    <row r="52" spans="1:28" x14ac:dyDescent="0.5">
      <c r="A52" s="375" t="s">
        <v>145</v>
      </c>
      <c r="B52" s="372">
        <v>109</v>
      </c>
      <c r="C52" s="372"/>
      <c r="D52" s="372"/>
      <c r="E52" s="372"/>
      <c r="F52" s="372"/>
      <c r="G52" s="372"/>
      <c r="H52" s="373">
        <v>109</v>
      </c>
      <c r="I52" s="372"/>
      <c r="J52" s="372"/>
      <c r="K52" s="372"/>
      <c r="L52" s="372"/>
      <c r="M52" s="372"/>
      <c r="N52" s="372"/>
      <c r="O52" s="373"/>
      <c r="P52" s="372">
        <v>1</v>
      </c>
      <c r="Q52" s="373">
        <v>1</v>
      </c>
      <c r="R52" s="372"/>
      <c r="S52" s="372"/>
      <c r="T52" s="373"/>
      <c r="U52" s="374">
        <v>110</v>
      </c>
      <c r="V52" s="111"/>
      <c r="W52" s="111"/>
      <c r="X52" s="111"/>
      <c r="Y52" s="111"/>
      <c r="Z52" s="111"/>
      <c r="AA52" s="111"/>
      <c r="AB52" s="111"/>
    </row>
    <row r="53" spans="1:28" x14ac:dyDescent="0.5">
      <c r="A53" s="375" t="s">
        <v>148</v>
      </c>
      <c r="B53" s="372"/>
      <c r="C53" s="372"/>
      <c r="D53" s="372"/>
      <c r="E53" s="372"/>
      <c r="F53" s="372"/>
      <c r="G53" s="372"/>
      <c r="H53" s="373"/>
      <c r="I53" s="372"/>
      <c r="J53" s="372"/>
      <c r="K53" s="372"/>
      <c r="L53" s="372"/>
      <c r="M53" s="372"/>
      <c r="N53" s="372"/>
      <c r="O53" s="373"/>
      <c r="P53" s="372"/>
      <c r="Q53" s="373"/>
      <c r="R53" s="372"/>
      <c r="S53" s="372"/>
      <c r="T53" s="373"/>
      <c r="U53" s="374"/>
      <c r="V53" s="111"/>
      <c r="W53" s="111"/>
      <c r="X53" s="111"/>
      <c r="Y53" s="111"/>
      <c r="Z53" s="111"/>
      <c r="AA53" s="111"/>
      <c r="AB53" s="111"/>
    </row>
    <row r="54" spans="1:28" x14ac:dyDescent="0.5">
      <c r="A54" s="371" t="s">
        <v>105</v>
      </c>
      <c r="B54" s="372">
        <v>137</v>
      </c>
      <c r="C54" s="372"/>
      <c r="D54" s="372"/>
      <c r="E54" s="372"/>
      <c r="F54" s="372"/>
      <c r="G54" s="372"/>
      <c r="H54" s="373">
        <v>137</v>
      </c>
      <c r="I54" s="372"/>
      <c r="J54" s="372"/>
      <c r="K54" s="372"/>
      <c r="L54" s="372"/>
      <c r="M54" s="372"/>
      <c r="N54" s="372"/>
      <c r="O54" s="373"/>
      <c r="P54" s="372"/>
      <c r="Q54" s="373"/>
      <c r="R54" s="372"/>
      <c r="S54" s="372"/>
      <c r="T54" s="373"/>
      <c r="U54" s="374">
        <v>137</v>
      </c>
      <c r="V54" s="111"/>
      <c r="W54" s="111"/>
      <c r="X54" s="111"/>
      <c r="Y54" s="111"/>
      <c r="Z54" s="111"/>
      <c r="AA54" s="111"/>
      <c r="AB54" s="111"/>
    </row>
    <row r="55" spans="1:28" x14ac:dyDescent="0.5">
      <c r="A55" s="375" t="s">
        <v>149</v>
      </c>
      <c r="B55" s="372">
        <v>137</v>
      </c>
      <c r="C55" s="372"/>
      <c r="D55" s="372"/>
      <c r="E55" s="372"/>
      <c r="F55" s="372"/>
      <c r="G55" s="372"/>
      <c r="H55" s="373">
        <v>137</v>
      </c>
      <c r="I55" s="372"/>
      <c r="J55" s="372"/>
      <c r="K55" s="372"/>
      <c r="L55" s="372"/>
      <c r="M55" s="372"/>
      <c r="N55" s="372"/>
      <c r="O55" s="373"/>
      <c r="P55" s="372"/>
      <c r="Q55" s="373"/>
      <c r="R55" s="372"/>
      <c r="S55" s="372"/>
      <c r="T55" s="373"/>
      <c r="U55" s="374">
        <v>137</v>
      </c>
      <c r="V55" s="111"/>
      <c r="W55" s="111"/>
      <c r="X55" s="111"/>
      <c r="Y55" s="111"/>
      <c r="Z55" s="111"/>
      <c r="AA55" s="111"/>
      <c r="AB55" s="111"/>
    </row>
    <row r="56" spans="1:28" x14ac:dyDescent="0.5">
      <c r="A56" s="376" t="s">
        <v>109</v>
      </c>
      <c r="B56" s="377">
        <v>1246</v>
      </c>
      <c r="C56" s="377">
        <v>880</v>
      </c>
      <c r="D56" s="377">
        <v>148</v>
      </c>
      <c r="E56" s="377">
        <v>62</v>
      </c>
      <c r="F56" s="377">
        <v>7</v>
      </c>
      <c r="G56" s="377">
        <v>3</v>
      </c>
      <c r="H56" s="377">
        <v>2346</v>
      </c>
      <c r="I56" s="377">
        <v>49</v>
      </c>
      <c r="J56" s="377">
        <v>13</v>
      </c>
      <c r="K56" s="377">
        <v>8</v>
      </c>
      <c r="L56" s="377">
        <v>5</v>
      </c>
      <c r="M56" s="377">
        <v>1</v>
      </c>
      <c r="N56" s="377">
        <v>1</v>
      </c>
      <c r="O56" s="377">
        <v>77</v>
      </c>
      <c r="P56" s="377">
        <v>51</v>
      </c>
      <c r="Q56" s="377">
        <v>51</v>
      </c>
      <c r="R56" s="377">
        <v>8</v>
      </c>
      <c r="S56" s="377">
        <v>4</v>
      </c>
      <c r="T56" s="377">
        <v>12</v>
      </c>
      <c r="U56" s="378">
        <v>2486</v>
      </c>
      <c r="V56" s="111"/>
      <c r="W56" s="111"/>
      <c r="X56" s="111"/>
      <c r="Y56" s="111"/>
      <c r="Z56" s="111"/>
      <c r="AA56" s="111"/>
      <c r="AB56" s="111"/>
    </row>
    <row r="57" spans="1:28" s="159" customFormat="1" x14ac:dyDescent="0.5">
      <c r="A57" s="157"/>
      <c r="B57" s="158"/>
      <c r="C57" s="158" t="s">
        <v>38</v>
      </c>
      <c r="D57" s="158"/>
      <c r="E57" s="158"/>
      <c r="F57" s="158"/>
      <c r="G57" s="158"/>
      <c r="H57" s="158"/>
      <c r="I57" s="158"/>
      <c r="J57" s="158" t="s">
        <v>45</v>
      </c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</row>
    <row r="58" spans="1:28" x14ac:dyDescent="0.5">
      <c r="C58" s="110">
        <v>7.8247261345852897E-4</v>
      </c>
      <c r="V58" s="119" t="s">
        <v>141</v>
      </c>
      <c r="W58" s="111"/>
      <c r="X58" s="111"/>
      <c r="Y58" s="111"/>
      <c r="Z58" s="111"/>
      <c r="AA58" s="111"/>
      <c r="AB58" s="111"/>
    </row>
    <row r="59" spans="1:28" x14ac:dyDescent="0.5">
      <c r="V59" s="119" t="s">
        <v>142</v>
      </c>
      <c r="W59" s="111"/>
      <c r="X59" s="111"/>
      <c r="Y59" s="111"/>
      <c r="Z59" s="111"/>
      <c r="AA59" s="111"/>
      <c r="AB59" s="111"/>
    </row>
    <row r="73" spans="2:3" ht="24" x14ac:dyDescent="0.55000000000000004">
      <c r="B73" s="367"/>
      <c r="C73" s="367"/>
    </row>
    <row r="74" spans="2:3" ht="24" x14ac:dyDescent="0.55000000000000004">
      <c r="B74" s="367"/>
      <c r="C74" s="367"/>
    </row>
    <row r="76" spans="2:3" x14ac:dyDescent="0.5">
      <c r="C76" s="110" t="s">
        <v>167</v>
      </c>
    </row>
  </sheetData>
  <mergeCells count="23">
    <mergeCell ref="A36:U36"/>
    <mergeCell ref="A37:A39"/>
    <mergeCell ref="B37:G38"/>
    <mergeCell ref="H37:H39"/>
    <mergeCell ref="I37:T37"/>
    <mergeCell ref="U37:U39"/>
    <mergeCell ref="I38:N38"/>
    <mergeCell ref="O38:O39"/>
    <mergeCell ref="Q38:Q39"/>
    <mergeCell ref="R38:S38"/>
    <mergeCell ref="T38:T39"/>
    <mergeCell ref="A1:AB1"/>
    <mergeCell ref="A2:A4"/>
    <mergeCell ref="B2:J3"/>
    <mergeCell ref="K2:K4"/>
    <mergeCell ref="L2:AA2"/>
    <mergeCell ref="AB2:AB4"/>
    <mergeCell ref="L3:O3"/>
    <mergeCell ref="P3:P4"/>
    <mergeCell ref="Q3:S3"/>
    <mergeCell ref="T3:T4"/>
    <mergeCell ref="U3:Z3"/>
    <mergeCell ref="AA3:AA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r:id="rId1"/>
  <headerFooter differentFirst="1">
    <oddFooter>&amp;L&amp;14จำนวนนิสิตจำแนกตามสถานภาพนิสิต ภาคปลาย ปีการศึกษา 2556 ระดับปริญญาตรี ระบบพิเศษ&amp;R&amp;14&amp;P/&amp;N</oddFooter>
  </headerFooter>
  <rowBreaks count="1" manualBreakCount="1">
    <brk id="3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74"/>
  <sheetViews>
    <sheetView topLeftCell="A49" workbookViewId="0">
      <selection activeCell="A51" sqref="A51:XFD74"/>
    </sheetView>
  </sheetViews>
  <sheetFormatPr defaultColWidth="8.75" defaultRowHeight="21.75" x14ac:dyDescent="0.5"/>
  <cols>
    <col min="1" max="1" width="31.75" style="111" customWidth="1"/>
    <col min="2" max="8" width="5.875" style="110" customWidth="1"/>
    <col min="9" max="20" width="6.875" style="110" customWidth="1"/>
    <col min="21" max="21" width="8.125" style="110" customWidth="1"/>
    <col min="22" max="16384" width="8.75" style="111"/>
  </cols>
  <sheetData>
    <row r="1" spans="1:21" ht="33" x14ac:dyDescent="0.75">
      <c r="A1" s="330" t="s">
        <v>150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</row>
    <row r="2" spans="1:21" x14ac:dyDescent="0.5">
      <c r="A2" s="331" t="s">
        <v>73</v>
      </c>
      <c r="B2" s="332" t="s">
        <v>74</v>
      </c>
      <c r="C2" s="332"/>
      <c r="D2" s="332"/>
      <c r="E2" s="332"/>
      <c r="F2" s="332"/>
      <c r="G2" s="332"/>
      <c r="H2" s="329" t="s">
        <v>85</v>
      </c>
      <c r="I2" s="333" t="s">
        <v>125</v>
      </c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5"/>
      <c r="U2" s="336" t="s">
        <v>76</v>
      </c>
    </row>
    <row r="3" spans="1:21" x14ac:dyDescent="0.5">
      <c r="A3" s="331"/>
      <c r="B3" s="332"/>
      <c r="C3" s="332"/>
      <c r="D3" s="332"/>
      <c r="E3" s="332"/>
      <c r="F3" s="332"/>
      <c r="G3" s="332"/>
      <c r="H3" s="329"/>
      <c r="I3" s="339" t="s">
        <v>7</v>
      </c>
      <c r="J3" s="339"/>
      <c r="K3" s="339"/>
      <c r="L3" s="339"/>
      <c r="M3" s="339"/>
      <c r="N3" s="339"/>
      <c r="O3" s="329" t="s">
        <v>85</v>
      </c>
      <c r="P3" s="122" t="s">
        <v>9</v>
      </c>
      <c r="Q3" s="329" t="s">
        <v>85</v>
      </c>
      <c r="R3" s="339" t="s">
        <v>11</v>
      </c>
      <c r="S3" s="339"/>
      <c r="T3" s="329" t="s">
        <v>85</v>
      </c>
      <c r="U3" s="337"/>
    </row>
    <row r="4" spans="1:21" x14ac:dyDescent="0.5">
      <c r="A4" s="331"/>
      <c r="B4" s="122" t="s">
        <v>78</v>
      </c>
      <c r="C4" s="122" t="s">
        <v>79</v>
      </c>
      <c r="D4" s="122" t="s">
        <v>80</v>
      </c>
      <c r="E4" s="122" t="s">
        <v>81</v>
      </c>
      <c r="F4" s="122" t="s">
        <v>82</v>
      </c>
      <c r="G4" s="122" t="s">
        <v>83</v>
      </c>
      <c r="H4" s="329"/>
      <c r="I4" s="122" t="s">
        <v>78</v>
      </c>
      <c r="J4" s="122" t="s">
        <v>79</v>
      </c>
      <c r="K4" s="122" t="s">
        <v>80</v>
      </c>
      <c r="L4" s="122" t="s">
        <v>81</v>
      </c>
      <c r="M4" s="122" t="s">
        <v>82</v>
      </c>
      <c r="N4" s="122" t="s">
        <v>83</v>
      </c>
      <c r="O4" s="329"/>
      <c r="P4" s="122" t="s">
        <v>78</v>
      </c>
      <c r="Q4" s="329"/>
      <c r="R4" s="122" t="s">
        <v>78</v>
      </c>
      <c r="S4" s="122" t="s">
        <v>80</v>
      </c>
      <c r="T4" s="329"/>
      <c r="U4" s="338"/>
    </row>
    <row r="5" spans="1:21" x14ac:dyDescent="0.5">
      <c r="A5" s="123" t="s">
        <v>129</v>
      </c>
      <c r="B5" s="124"/>
      <c r="C5" s="124"/>
      <c r="D5" s="124"/>
      <c r="E5" s="124"/>
      <c r="F5" s="124"/>
      <c r="G5" s="124"/>
      <c r="H5" s="125"/>
      <c r="I5" s="124"/>
      <c r="J5" s="124"/>
      <c r="K5" s="124"/>
      <c r="L5" s="124"/>
      <c r="M5" s="124"/>
      <c r="N5" s="124"/>
      <c r="O5" s="125"/>
      <c r="P5" s="124"/>
      <c r="Q5" s="125"/>
      <c r="R5" s="124"/>
      <c r="S5" s="124"/>
      <c r="T5" s="125"/>
      <c r="U5" s="126"/>
    </row>
    <row r="6" spans="1:21" x14ac:dyDescent="0.5">
      <c r="A6" s="127" t="s">
        <v>88</v>
      </c>
      <c r="B6" s="128"/>
      <c r="C6" s="128"/>
      <c r="D6" s="128"/>
      <c r="E6" s="128"/>
      <c r="F6" s="128"/>
      <c r="G6" s="128"/>
      <c r="H6" s="129"/>
      <c r="I6" s="128"/>
      <c r="J6" s="128"/>
      <c r="K6" s="128"/>
      <c r="L6" s="128"/>
      <c r="M6" s="128"/>
      <c r="N6" s="128"/>
      <c r="O6" s="129"/>
      <c r="P6" s="128"/>
      <c r="Q6" s="129"/>
      <c r="R6" s="128"/>
      <c r="S6" s="128"/>
      <c r="T6" s="129"/>
      <c r="U6" s="130"/>
    </row>
    <row r="7" spans="1:21" x14ac:dyDescent="0.5">
      <c r="A7" s="113" t="s">
        <v>89</v>
      </c>
      <c r="B7" s="131">
        <v>91</v>
      </c>
      <c r="C7" s="131">
        <v>155</v>
      </c>
      <c r="D7" s="131">
        <v>3</v>
      </c>
      <c r="E7" s="131">
        <v>1</v>
      </c>
      <c r="F7" s="131"/>
      <c r="G7" s="131"/>
      <c r="H7" s="132">
        <v>250</v>
      </c>
      <c r="I7" s="131">
        <v>3</v>
      </c>
      <c r="J7" s="131">
        <v>3</v>
      </c>
      <c r="K7" s="131">
        <v>1</v>
      </c>
      <c r="L7" s="131"/>
      <c r="M7" s="131"/>
      <c r="N7" s="131"/>
      <c r="O7" s="132">
        <v>7</v>
      </c>
      <c r="P7" s="131">
        <v>11</v>
      </c>
      <c r="Q7" s="132">
        <v>11</v>
      </c>
      <c r="R7" s="131">
        <v>2</v>
      </c>
      <c r="S7" s="131"/>
      <c r="T7" s="132">
        <v>2</v>
      </c>
      <c r="U7" s="133">
        <v>270</v>
      </c>
    </row>
    <row r="8" spans="1:21" x14ac:dyDescent="0.5">
      <c r="A8" s="114" t="s">
        <v>130</v>
      </c>
      <c r="B8" s="120">
        <v>23</v>
      </c>
      <c r="C8" s="120">
        <v>18</v>
      </c>
      <c r="D8" s="120">
        <v>3</v>
      </c>
      <c r="E8" s="120"/>
      <c r="F8" s="120"/>
      <c r="G8" s="120"/>
      <c r="H8" s="121">
        <v>44</v>
      </c>
      <c r="I8" s="120">
        <v>2</v>
      </c>
      <c r="J8" s="120">
        <v>2</v>
      </c>
      <c r="K8" s="120"/>
      <c r="L8" s="120"/>
      <c r="M8" s="120"/>
      <c r="N8" s="120"/>
      <c r="O8" s="121">
        <v>4</v>
      </c>
      <c r="P8" s="120">
        <v>4</v>
      </c>
      <c r="Q8" s="121">
        <v>4</v>
      </c>
      <c r="R8" s="120"/>
      <c r="S8" s="120"/>
      <c r="T8" s="121"/>
      <c r="U8" s="134">
        <v>52</v>
      </c>
    </row>
    <row r="9" spans="1:21" x14ac:dyDescent="0.5">
      <c r="A9" s="114" t="s">
        <v>131</v>
      </c>
      <c r="B9" s="120">
        <v>59</v>
      </c>
      <c r="C9" s="120">
        <v>118</v>
      </c>
      <c r="D9" s="120">
        <v>4</v>
      </c>
      <c r="E9" s="120">
        <v>1</v>
      </c>
      <c r="F9" s="120"/>
      <c r="G9" s="120"/>
      <c r="H9" s="121">
        <v>182</v>
      </c>
      <c r="I9" s="120">
        <v>4</v>
      </c>
      <c r="J9" s="120"/>
      <c r="K9" s="120">
        <v>1</v>
      </c>
      <c r="L9" s="120">
        <v>2</v>
      </c>
      <c r="M9" s="120"/>
      <c r="N9" s="120"/>
      <c r="O9" s="121">
        <v>7</v>
      </c>
      <c r="P9" s="120">
        <v>3</v>
      </c>
      <c r="Q9" s="121">
        <v>3</v>
      </c>
      <c r="R9" s="120"/>
      <c r="S9" s="120"/>
      <c r="T9" s="121"/>
      <c r="U9" s="134">
        <v>192</v>
      </c>
    </row>
    <row r="10" spans="1:21" x14ac:dyDescent="0.5">
      <c r="A10" s="135" t="s">
        <v>132</v>
      </c>
      <c r="B10" s="136">
        <v>282</v>
      </c>
      <c r="C10" s="136">
        <v>383</v>
      </c>
      <c r="D10" s="136">
        <v>16</v>
      </c>
      <c r="E10" s="136"/>
      <c r="F10" s="136"/>
      <c r="G10" s="136"/>
      <c r="H10" s="137">
        <v>681</v>
      </c>
      <c r="I10" s="136">
        <v>8</v>
      </c>
      <c r="J10" s="136">
        <v>5</v>
      </c>
      <c r="K10" s="136">
        <v>1</v>
      </c>
      <c r="L10" s="136"/>
      <c r="M10" s="136"/>
      <c r="N10" s="136"/>
      <c r="O10" s="137">
        <v>14</v>
      </c>
      <c r="P10" s="136">
        <v>9</v>
      </c>
      <c r="Q10" s="137">
        <v>9</v>
      </c>
      <c r="R10" s="136">
        <v>2</v>
      </c>
      <c r="S10" s="136">
        <v>2</v>
      </c>
      <c r="T10" s="137">
        <v>4</v>
      </c>
      <c r="U10" s="138">
        <v>708</v>
      </c>
    </row>
    <row r="11" spans="1:21" x14ac:dyDescent="0.5">
      <c r="A11" s="139" t="s">
        <v>90</v>
      </c>
      <c r="B11" s="140">
        <v>455</v>
      </c>
      <c r="C11" s="140">
        <v>674</v>
      </c>
      <c r="D11" s="140">
        <v>26</v>
      </c>
      <c r="E11" s="140">
        <v>2</v>
      </c>
      <c r="F11" s="140"/>
      <c r="G11" s="140"/>
      <c r="H11" s="141">
        <v>1157</v>
      </c>
      <c r="I11" s="140">
        <v>17</v>
      </c>
      <c r="J11" s="140">
        <v>10</v>
      </c>
      <c r="K11" s="140">
        <v>3</v>
      </c>
      <c r="L11" s="140">
        <v>2</v>
      </c>
      <c r="M11" s="140"/>
      <c r="N11" s="140"/>
      <c r="O11" s="141">
        <v>32</v>
      </c>
      <c r="P11" s="140">
        <v>27</v>
      </c>
      <c r="Q11" s="141">
        <v>27</v>
      </c>
      <c r="R11" s="140">
        <v>4</v>
      </c>
      <c r="S11" s="140">
        <v>2</v>
      </c>
      <c r="T11" s="141">
        <v>6</v>
      </c>
      <c r="U11" s="142">
        <v>1222</v>
      </c>
    </row>
    <row r="12" spans="1:21" x14ac:dyDescent="0.5">
      <c r="A12" s="143" t="s">
        <v>95</v>
      </c>
      <c r="B12" s="144"/>
      <c r="C12" s="144"/>
      <c r="D12" s="144"/>
      <c r="E12" s="144"/>
      <c r="F12" s="144"/>
      <c r="G12" s="144"/>
      <c r="H12" s="145"/>
      <c r="I12" s="144"/>
      <c r="J12" s="144"/>
      <c r="K12" s="144"/>
      <c r="L12" s="144"/>
      <c r="M12" s="144"/>
      <c r="N12" s="144"/>
      <c r="O12" s="145"/>
      <c r="P12" s="144"/>
      <c r="Q12" s="145"/>
      <c r="R12" s="144"/>
      <c r="S12" s="144"/>
      <c r="T12" s="145"/>
      <c r="U12" s="146"/>
    </row>
    <row r="13" spans="1:21" x14ac:dyDescent="0.5">
      <c r="A13" s="113" t="s">
        <v>117</v>
      </c>
      <c r="B13" s="131">
        <v>30</v>
      </c>
      <c r="C13" s="131">
        <v>23</v>
      </c>
      <c r="D13" s="131"/>
      <c r="E13" s="131"/>
      <c r="F13" s="131"/>
      <c r="G13" s="131"/>
      <c r="H13" s="132">
        <v>53</v>
      </c>
      <c r="I13" s="131">
        <v>2</v>
      </c>
      <c r="J13" s="131"/>
      <c r="K13" s="131"/>
      <c r="L13" s="131"/>
      <c r="M13" s="131"/>
      <c r="N13" s="131"/>
      <c r="O13" s="132">
        <v>2</v>
      </c>
      <c r="P13" s="131">
        <v>3</v>
      </c>
      <c r="Q13" s="132">
        <v>3</v>
      </c>
      <c r="R13" s="131"/>
      <c r="S13" s="131"/>
      <c r="T13" s="132"/>
      <c r="U13" s="133">
        <v>58</v>
      </c>
    </row>
    <row r="14" spans="1:21" x14ac:dyDescent="0.5">
      <c r="A14" s="114" t="s">
        <v>135</v>
      </c>
      <c r="B14" s="120"/>
      <c r="C14" s="120"/>
      <c r="D14" s="120">
        <v>47</v>
      </c>
      <c r="E14" s="120">
        <v>7</v>
      </c>
      <c r="F14" s="120"/>
      <c r="G14" s="120"/>
      <c r="H14" s="121">
        <v>54</v>
      </c>
      <c r="I14" s="120"/>
      <c r="J14" s="120"/>
      <c r="K14" s="120">
        <v>1</v>
      </c>
      <c r="L14" s="120"/>
      <c r="M14" s="120"/>
      <c r="N14" s="120"/>
      <c r="O14" s="121">
        <v>1</v>
      </c>
      <c r="P14" s="120"/>
      <c r="Q14" s="121"/>
      <c r="R14" s="120"/>
      <c r="S14" s="120">
        <v>1</v>
      </c>
      <c r="T14" s="121">
        <v>1</v>
      </c>
      <c r="U14" s="134">
        <v>56</v>
      </c>
    </row>
    <row r="15" spans="1:21" x14ac:dyDescent="0.5">
      <c r="A15" s="135" t="s">
        <v>118</v>
      </c>
      <c r="B15" s="136">
        <v>15</v>
      </c>
      <c r="C15" s="136">
        <v>19</v>
      </c>
      <c r="D15" s="136">
        <v>5</v>
      </c>
      <c r="E15" s="136">
        <v>3</v>
      </c>
      <c r="F15" s="136"/>
      <c r="G15" s="136"/>
      <c r="H15" s="137">
        <v>42</v>
      </c>
      <c r="I15" s="136">
        <v>1</v>
      </c>
      <c r="J15" s="136"/>
      <c r="K15" s="136">
        <v>2</v>
      </c>
      <c r="L15" s="136">
        <v>2</v>
      </c>
      <c r="M15" s="136"/>
      <c r="N15" s="136"/>
      <c r="O15" s="137">
        <v>5</v>
      </c>
      <c r="P15" s="136">
        <v>2</v>
      </c>
      <c r="Q15" s="137">
        <v>2</v>
      </c>
      <c r="R15" s="136"/>
      <c r="S15" s="136"/>
      <c r="T15" s="137"/>
      <c r="U15" s="138">
        <v>49</v>
      </c>
    </row>
    <row r="16" spans="1:21" x14ac:dyDescent="0.5">
      <c r="A16" s="139" t="s">
        <v>96</v>
      </c>
      <c r="B16" s="140">
        <v>45</v>
      </c>
      <c r="C16" s="140">
        <v>42</v>
      </c>
      <c r="D16" s="140">
        <v>52</v>
      </c>
      <c r="E16" s="140">
        <v>10</v>
      </c>
      <c r="F16" s="140"/>
      <c r="G16" s="140"/>
      <c r="H16" s="141">
        <v>149</v>
      </c>
      <c r="I16" s="140">
        <v>3</v>
      </c>
      <c r="J16" s="140"/>
      <c r="K16" s="140">
        <v>3</v>
      </c>
      <c r="L16" s="140">
        <v>2</v>
      </c>
      <c r="M16" s="140"/>
      <c r="N16" s="140"/>
      <c r="O16" s="141">
        <v>8</v>
      </c>
      <c r="P16" s="140">
        <v>5</v>
      </c>
      <c r="Q16" s="141">
        <v>5</v>
      </c>
      <c r="R16" s="140"/>
      <c r="S16" s="140">
        <v>1</v>
      </c>
      <c r="T16" s="141">
        <v>1</v>
      </c>
      <c r="U16" s="142">
        <v>163</v>
      </c>
    </row>
    <row r="17" spans="1:21" x14ac:dyDescent="0.5">
      <c r="A17" s="143" t="s">
        <v>98</v>
      </c>
      <c r="B17" s="144"/>
      <c r="C17" s="144"/>
      <c r="D17" s="144"/>
      <c r="E17" s="144"/>
      <c r="F17" s="144"/>
      <c r="G17" s="144"/>
      <c r="H17" s="145"/>
      <c r="I17" s="144"/>
      <c r="J17" s="144"/>
      <c r="K17" s="144"/>
      <c r="L17" s="144"/>
      <c r="M17" s="144"/>
      <c r="N17" s="144"/>
      <c r="O17" s="145"/>
      <c r="P17" s="144"/>
      <c r="Q17" s="145"/>
      <c r="R17" s="144"/>
      <c r="S17" s="144"/>
      <c r="T17" s="145"/>
      <c r="U17" s="146"/>
    </row>
    <row r="18" spans="1:21" x14ac:dyDescent="0.5">
      <c r="A18" s="113" t="s">
        <v>136</v>
      </c>
      <c r="B18" s="131">
        <v>3</v>
      </c>
      <c r="C18" s="131">
        <v>15</v>
      </c>
      <c r="D18" s="131">
        <v>2</v>
      </c>
      <c r="E18" s="131">
        <v>6</v>
      </c>
      <c r="F18" s="131">
        <v>1</v>
      </c>
      <c r="G18" s="131"/>
      <c r="H18" s="132">
        <v>27</v>
      </c>
      <c r="I18" s="131"/>
      <c r="J18" s="131"/>
      <c r="K18" s="131"/>
      <c r="L18" s="131"/>
      <c r="M18" s="131"/>
      <c r="N18" s="131"/>
      <c r="O18" s="132"/>
      <c r="P18" s="131"/>
      <c r="Q18" s="132"/>
      <c r="R18" s="131"/>
      <c r="S18" s="131"/>
      <c r="T18" s="132"/>
      <c r="U18" s="133">
        <v>27</v>
      </c>
    </row>
    <row r="19" spans="1:21" x14ac:dyDescent="0.5">
      <c r="A19" s="114" t="s">
        <v>99</v>
      </c>
      <c r="B19" s="120">
        <v>19</v>
      </c>
      <c r="C19" s="120">
        <v>14</v>
      </c>
      <c r="D19" s="120">
        <v>9</v>
      </c>
      <c r="E19" s="120">
        <v>15</v>
      </c>
      <c r="F19" s="120">
        <v>2</v>
      </c>
      <c r="G19" s="120"/>
      <c r="H19" s="121">
        <v>59</v>
      </c>
      <c r="I19" s="120">
        <v>1</v>
      </c>
      <c r="J19" s="120">
        <v>1</v>
      </c>
      <c r="K19" s="120"/>
      <c r="L19" s="120"/>
      <c r="M19" s="120"/>
      <c r="N19" s="120"/>
      <c r="O19" s="121">
        <v>2</v>
      </c>
      <c r="P19" s="120"/>
      <c r="Q19" s="121"/>
      <c r="R19" s="120"/>
      <c r="S19" s="120"/>
      <c r="T19" s="121"/>
      <c r="U19" s="134">
        <v>61</v>
      </c>
    </row>
    <row r="20" spans="1:21" x14ac:dyDescent="0.5">
      <c r="A20" s="114" t="s">
        <v>137</v>
      </c>
      <c r="B20" s="120">
        <v>38</v>
      </c>
      <c r="C20" s="120">
        <v>20</v>
      </c>
      <c r="D20" s="120">
        <v>17</v>
      </c>
      <c r="E20" s="120">
        <v>15</v>
      </c>
      <c r="F20" s="120"/>
      <c r="G20" s="120"/>
      <c r="H20" s="121">
        <v>90</v>
      </c>
      <c r="I20" s="120">
        <v>2</v>
      </c>
      <c r="J20" s="120"/>
      <c r="K20" s="120"/>
      <c r="L20" s="120">
        <v>1</v>
      </c>
      <c r="M20" s="120">
        <v>1</v>
      </c>
      <c r="N20" s="120"/>
      <c r="O20" s="121">
        <v>4</v>
      </c>
      <c r="P20" s="120">
        <v>1</v>
      </c>
      <c r="Q20" s="121">
        <v>1</v>
      </c>
      <c r="R20" s="120"/>
      <c r="S20" s="120"/>
      <c r="T20" s="121"/>
      <c r="U20" s="134">
        <v>95</v>
      </c>
    </row>
    <row r="21" spans="1:21" x14ac:dyDescent="0.5">
      <c r="A21" s="114" t="s">
        <v>138</v>
      </c>
      <c r="B21" s="120">
        <v>8</v>
      </c>
      <c r="C21" s="120">
        <v>14</v>
      </c>
      <c r="D21" s="120">
        <v>6</v>
      </c>
      <c r="E21" s="120">
        <v>2</v>
      </c>
      <c r="F21" s="120"/>
      <c r="G21" s="120"/>
      <c r="H21" s="121">
        <v>30</v>
      </c>
      <c r="I21" s="120"/>
      <c r="J21" s="120"/>
      <c r="K21" s="120">
        <v>1</v>
      </c>
      <c r="L21" s="120"/>
      <c r="M21" s="120"/>
      <c r="N21" s="120"/>
      <c r="O21" s="121">
        <v>1</v>
      </c>
      <c r="P21" s="120">
        <v>1</v>
      </c>
      <c r="Q21" s="121">
        <v>1</v>
      </c>
      <c r="R21" s="120">
        <v>1</v>
      </c>
      <c r="S21" s="120"/>
      <c r="T21" s="121">
        <v>1</v>
      </c>
      <c r="U21" s="134">
        <v>33</v>
      </c>
    </row>
    <row r="22" spans="1:21" x14ac:dyDescent="0.5">
      <c r="A22" s="135" t="s">
        <v>100</v>
      </c>
      <c r="B22" s="136">
        <v>18</v>
      </c>
      <c r="C22" s="136">
        <v>16</v>
      </c>
      <c r="D22" s="136">
        <v>32</v>
      </c>
      <c r="E22" s="136">
        <v>12</v>
      </c>
      <c r="F22" s="136">
        <v>4</v>
      </c>
      <c r="G22" s="136">
        <v>3</v>
      </c>
      <c r="H22" s="137">
        <v>85</v>
      </c>
      <c r="I22" s="136">
        <v>4</v>
      </c>
      <c r="J22" s="136"/>
      <c r="K22" s="136">
        <v>1</v>
      </c>
      <c r="L22" s="136"/>
      <c r="M22" s="136"/>
      <c r="N22" s="136">
        <v>1</v>
      </c>
      <c r="O22" s="137">
        <v>6</v>
      </c>
      <c r="P22" s="136">
        <v>2</v>
      </c>
      <c r="Q22" s="137">
        <v>2</v>
      </c>
      <c r="R22" s="136">
        <v>1</v>
      </c>
      <c r="S22" s="136">
        <v>1</v>
      </c>
      <c r="T22" s="137">
        <v>2</v>
      </c>
      <c r="U22" s="138">
        <v>95</v>
      </c>
    </row>
    <row r="23" spans="1:21" x14ac:dyDescent="0.5">
      <c r="A23" s="139" t="s">
        <v>101</v>
      </c>
      <c r="B23" s="140">
        <v>86</v>
      </c>
      <c r="C23" s="140">
        <v>79</v>
      </c>
      <c r="D23" s="140">
        <v>66</v>
      </c>
      <c r="E23" s="140">
        <v>50</v>
      </c>
      <c r="F23" s="140">
        <v>7</v>
      </c>
      <c r="G23" s="140">
        <v>3</v>
      </c>
      <c r="H23" s="141">
        <v>291</v>
      </c>
      <c r="I23" s="140">
        <v>7</v>
      </c>
      <c r="J23" s="140">
        <v>1</v>
      </c>
      <c r="K23" s="140">
        <v>2</v>
      </c>
      <c r="L23" s="140">
        <v>1</v>
      </c>
      <c r="M23" s="140">
        <v>1</v>
      </c>
      <c r="N23" s="140">
        <v>1</v>
      </c>
      <c r="O23" s="141">
        <v>13</v>
      </c>
      <c r="P23" s="140">
        <v>4</v>
      </c>
      <c r="Q23" s="141">
        <v>4</v>
      </c>
      <c r="R23" s="140">
        <v>2</v>
      </c>
      <c r="S23" s="140">
        <v>1</v>
      </c>
      <c r="T23" s="141">
        <v>3</v>
      </c>
      <c r="U23" s="142">
        <v>311</v>
      </c>
    </row>
    <row r="24" spans="1:21" x14ac:dyDescent="0.5">
      <c r="A24" s="143" t="s">
        <v>104</v>
      </c>
      <c r="B24" s="144"/>
      <c r="C24" s="144"/>
      <c r="D24" s="144"/>
      <c r="E24" s="144"/>
      <c r="F24" s="144"/>
      <c r="G24" s="144"/>
      <c r="H24" s="145"/>
      <c r="I24" s="144"/>
      <c r="J24" s="144"/>
      <c r="K24" s="144"/>
      <c r="L24" s="144"/>
      <c r="M24" s="144"/>
      <c r="N24" s="144"/>
      <c r="O24" s="145"/>
      <c r="P24" s="144"/>
      <c r="Q24" s="145"/>
      <c r="R24" s="144"/>
      <c r="S24" s="144"/>
      <c r="T24" s="145"/>
      <c r="U24" s="146"/>
    </row>
    <row r="25" spans="1:21" x14ac:dyDescent="0.5">
      <c r="A25" s="147" t="s">
        <v>139</v>
      </c>
      <c r="B25" s="148">
        <v>151</v>
      </c>
      <c r="C25" s="148"/>
      <c r="D25" s="148"/>
      <c r="E25" s="148"/>
      <c r="F25" s="148"/>
      <c r="G25" s="148"/>
      <c r="H25" s="149">
        <v>151</v>
      </c>
      <c r="I25" s="148">
        <v>4</v>
      </c>
      <c r="J25" s="148"/>
      <c r="K25" s="148"/>
      <c r="L25" s="148"/>
      <c r="M25" s="148"/>
      <c r="N25" s="148"/>
      <c r="O25" s="149">
        <v>4</v>
      </c>
      <c r="P25" s="148"/>
      <c r="Q25" s="149"/>
      <c r="R25" s="148"/>
      <c r="S25" s="148"/>
      <c r="T25" s="149"/>
      <c r="U25" s="150">
        <v>155</v>
      </c>
    </row>
    <row r="26" spans="1:21" x14ac:dyDescent="0.5">
      <c r="A26" s="139" t="s">
        <v>105</v>
      </c>
      <c r="B26" s="140">
        <v>151</v>
      </c>
      <c r="C26" s="140"/>
      <c r="D26" s="140"/>
      <c r="E26" s="140"/>
      <c r="F26" s="140"/>
      <c r="G26" s="140"/>
      <c r="H26" s="141">
        <v>151</v>
      </c>
      <c r="I26" s="140">
        <v>4</v>
      </c>
      <c r="J26" s="140"/>
      <c r="K26" s="140"/>
      <c r="L26" s="140"/>
      <c r="M26" s="140"/>
      <c r="N26" s="140"/>
      <c r="O26" s="141">
        <v>4</v>
      </c>
      <c r="P26" s="140"/>
      <c r="Q26" s="141"/>
      <c r="R26" s="140"/>
      <c r="S26" s="140"/>
      <c r="T26" s="141"/>
      <c r="U26" s="142">
        <v>155</v>
      </c>
    </row>
    <row r="27" spans="1:21" x14ac:dyDescent="0.5">
      <c r="A27" s="151" t="s">
        <v>140</v>
      </c>
      <c r="B27" s="152">
        <v>737</v>
      </c>
      <c r="C27" s="152">
        <v>795</v>
      </c>
      <c r="D27" s="152">
        <v>144</v>
      </c>
      <c r="E27" s="152">
        <v>62</v>
      </c>
      <c r="F27" s="152">
        <v>7</v>
      </c>
      <c r="G27" s="152">
        <v>3</v>
      </c>
      <c r="H27" s="153">
        <v>1748</v>
      </c>
      <c r="I27" s="152">
        <v>31</v>
      </c>
      <c r="J27" s="152">
        <v>11</v>
      </c>
      <c r="K27" s="152">
        <v>8</v>
      </c>
      <c r="L27" s="152">
        <v>5</v>
      </c>
      <c r="M27" s="152">
        <v>1</v>
      </c>
      <c r="N27" s="152">
        <v>1</v>
      </c>
      <c r="O27" s="153">
        <v>57</v>
      </c>
      <c r="P27" s="152">
        <v>36</v>
      </c>
      <c r="Q27" s="153">
        <v>36</v>
      </c>
      <c r="R27" s="152">
        <v>6</v>
      </c>
      <c r="S27" s="152">
        <v>4</v>
      </c>
      <c r="T27" s="153">
        <v>10</v>
      </c>
      <c r="U27" s="154">
        <v>1851</v>
      </c>
    </row>
    <row r="28" spans="1:21" x14ac:dyDescent="0.5">
      <c r="A28" s="123" t="s">
        <v>146</v>
      </c>
      <c r="B28" s="124"/>
      <c r="C28" s="124"/>
      <c r="D28" s="124"/>
      <c r="E28" s="124"/>
      <c r="F28" s="124"/>
      <c r="G28" s="124"/>
      <c r="H28" s="125"/>
      <c r="I28" s="124"/>
      <c r="J28" s="124"/>
      <c r="K28" s="124"/>
      <c r="L28" s="124"/>
      <c r="M28" s="124"/>
      <c r="N28" s="124"/>
      <c r="O28" s="125"/>
      <c r="P28" s="124"/>
      <c r="Q28" s="125"/>
      <c r="R28" s="124"/>
      <c r="S28" s="124"/>
      <c r="T28" s="125"/>
      <c r="U28" s="126"/>
    </row>
    <row r="29" spans="1:21" x14ac:dyDescent="0.5">
      <c r="A29" s="127" t="s">
        <v>88</v>
      </c>
      <c r="B29" s="128"/>
      <c r="C29" s="128"/>
      <c r="D29" s="128"/>
      <c r="E29" s="128"/>
      <c r="F29" s="128"/>
      <c r="G29" s="128"/>
      <c r="H29" s="129"/>
      <c r="I29" s="128"/>
      <c r="J29" s="128"/>
      <c r="K29" s="128"/>
      <c r="L29" s="128"/>
      <c r="M29" s="128"/>
      <c r="N29" s="128"/>
      <c r="O29" s="129"/>
      <c r="P29" s="128"/>
      <c r="Q29" s="129"/>
      <c r="R29" s="128"/>
      <c r="S29" s="128"/>
      <c r="T29" s="129"/>
      <c r="U29" s="130"/>
    </row>
    <row r="30" spans="1:21" x14ac:dyDescent="0.5">
      <c r="A30" s="147" t="s">
        <v>132</v>
      </c>
      <c r="B30" s="148">
        <v>62</v>
      </c>
      <c r="C30" s="148">
        <v>85</v>
      </c>
      <c r="D30" s="148">
        <v>4</v>
      </c>
      <c r="E30" s="148"/>
      <c r="F30" s="148"/>
      <c r="G30" s="148"/>
      <c r="H30" s="149">
        <v>151</v>
      </c>
      <c r="I30" s="148">
        <v>11</v>
      </c>
      <c r="J30" s="148">
        <v>2</v>
      </c>
      <c r="K30" s="148"/>
      <c r="L30" s="148"/>
      <c r="M30" s="148"/>
      <c r="N30" s="148"/>
      <c r="O30" s="149">
        <v>13</v>
      </c>
      <c r="P30" s="148">
        <v>14</v>
      </c>
      <c r="Q30" s="149">
        <v>14</v>
      </c>
      <c r="R30" s="148">
        <v>2</v>
      </c>
      <c r="S30" s="148"/>
      <c r="T30" s="149">
        <v>2</v>
      </c>
      <c r="U30" s="150">
        <v>180</v>
      </c>
    </row>
    <row r="31" spans="1:21" x14ac:dyDescent="0.5">
      <c r="A31" s="139" t="s">
        <v>90</v>
      </c>
      <c r="B31" s="140">
        <v>62</v>
      </c>
      <c r="C31" s="140">
        <v>85</v>
      </c>
      <c r="D31" s="140">
        <v>4</v>
      </c>
      <c r="E31" s="140"/>
      <c r="F31" s="140"/>
      <c r="G31" s="140"/>
      <c r="H31" s="141">
        <v>151</v>
      </c>
      <c r="I31" s="140">
        <v>11</v>
      </c>
      <c r="J31" s="140">
        <v>2</v>
      </c>
      <c r="K31" s="140"/>
      <c r="L31" s="140"/>
      <c r="M31" s="140"/>
      <c r="N31" s="140"/>
      <c r="O31" s="141">
        <v>13</v>
      </c>
      <c r="P31" s="140">
        <v>14</v>
      </c>
      <c r="Q31" s="141">
        <v>14</v>
      </c>
      <c r="R31" s="140">
        <v>2</v>
      </c>
      <c r="S31" s="140"/>
      <c r="T31" s="141">
        <v>2</v>
      </c>
      <c r="U31" s="142">
        <v>180</v>
      </c>
    </row>
    <row r="32" spans="1:21" x14ac:dyDescent="0.5">
      <c r="A32" s="143" t="s">
        <v>104</v>
      </c>
      <c r="B32" s="144"/>
      <c r="C32" s="144"/>
      <c r="D32" s="144"/>
      <c r="E32" s="144"/>
      <c r="F32" s="144"/>
      <c r="G32" s="144"/>
      <c r="H32" s="145"/>
      <c r="I32" s="144"/>
      <c r="J32" s="144"/>
      <c r="K32" s="144"/>
      <c r="L32" s="144"/>
      <c r="M32" s="144"/>
      <c r="N32" s="144"/>
      <c r="O32" s="145"/>
      <c r="P32" s="144"/>
      <c r="Q32" s="145"/>
      <c r="R32" s="144"/>
      <c r="S32" s="144"/>
      <c r="T32" s="145"/>
      <c r="U32" s="146"/>
    </row>
    <row r="33" spans="1:21" x14ac:dyDescent="0.5">
      <c r="A33" s="147" t="s">
        <v>139</v>
      </c>
      <c r="B33" s="148">
        <v>201</v>
      </c>
      <c r="C33" s="148"/>
      <c r="D33" s="148"/>
      <c r="E33" s="148"/>
      <c r="F33" s="148"/>
      <c r="G33" s="148"/>
      <c r="H33" s="149">
        <v>201</v>
      </c>
      <c r="I33" s="148">
        <v>7</v>
      </c>
      <c r="J33" s="148"/>
      <c r="K33" s="148"/>
      <c r="L33" s="148"/>
      <c r="M33" s="148"/>
      <c r="N33" s="148"/>
      <c r="O33" s="149">
        <v>7</v>
      </c>
      <c r="P33" s="148"/>
      <c r="Q33" s="149"/>
      <c r="R33" s="148"/>
      <c r="S33" s="148"/>
      <c r="T33" s="149"/>
      <c r="U33" s="150">
        <v>208</v>
      </c>
    </row>
    <row r="34" spans="1:21" x14ac:dyDescent="0.5">
      <c r="A34" s="139" t="s">
        <v>105</v>
      </c>
      <c r="B34" s="140">
        <v>201</v>
      </c>
      <c r="C34" s="140"/>
      <c r="D34" s="140"/>
      <c r="E34" s="140"/>
      <c r="F34" s="140"/>
      <c r="G34" s="140"/>
      <c r="H34" s="141">
        <v>201</v>
      </c>
      <c r="I34" s="140">
        <v>7</v>
      </c>
      <c r="J34" s="140"/>
      <c r="K34" s="140"/>
      <c r="L34" s="140"/>
      <c r="M34" s="140"/>
      <c r="N34" s="140"/>
      <c r="O34" s="141">
        <v>7</v>
      </c>
      <c r="P34" s="140"/>
      <c r="Q34" s="141"/>
      <c r="R34" s="140"/>
      <c r="S34" s="140"/>
      <c r="T34" s="141"/>
      <c r="U34" s="142">
        <v>208</v>
      </c>
    </row>
    <row r="35" spans="1:21" x14ac:dyDescent="0.5">
      <c r="A35" s="151" t="s">
        <v>147</v>
      </c>
      <c r="B35" s="152">
        <v>263</v>
      </c>
      <c r="C35" s="152">
        <v>85</v>
      </c>
      <c r="D35" s="152">
        <v>4</v>
      </c>
      <c r="E35" s="152"/>
      <c r="F35" s="152"/>
      <c r="G35" s="152"/>
      <c r="H35" s="153">
        <v>352</v>
      </c>
      <c r="I35" s="152">
        <v>18</v>
      </c>
      <c r="J35" s="152">
        <v>2</v>
      </c>
      <c r="K35" s="152"/>
      <c r="L35" s="152"/>
      <c r="M35" s="152"/>
      <c r="N35" s="152"/>
      <c r="O35" s="153">
        <v>20</v>
      </c>
      <c r="P35" s="152">
        <v>14</v>
      </c>
      <c r="Q35" s="153">
        <v>14</v>
      </c>
      <c r="R35" s="152">
        <v>2</v>
      </c>
      <c r="S35" s="152"/>
      <c r="T35" s="153">
        <v>2</v>
      </c>
      <c r="U35" s="154">
        <v>388</v>
      </c>
    </row>
    <row r="36" spans="1:21" x14ac:dyDescent="0.5">
      <c r="A36" s="123" t="s">
        <v>144</v>
      </c>
      <c r="B36" s="124"/>
      <c r="C36" s="124"/>
      <c r="D36" s="124"/>
      <c r="E36" s="124"/>
      <c r="F36" s="124"/>
      <c r="G36" s="124"/>
      <c r="H36" s="125"/>
      <c r="I36" s="124"/>
      <c r="J36" s="124"/>
      <c r="K36" s="124"/>
      <c r="L36" s="124"/>
      <c r="M36" s="124"/>
      <c r="N36" s="124"/>
      <c r="O36" s="125"/>
      <c r="P36" s="124"/>
      <c r="Q36" s="125"/>
      <c r="R36" s="124"/>
      <c r="S36" s="124"/>
      <c r="T36" s="125"/>
      <c r="U36" s="126"/>
    </row>
    <row r="37" spans="1:21" x14ac:dyDescent="0.5">
      <c r="A37" s="127" t="s">
        <v>104</v>
      </c>
      <c r="B37" s="128"/>
      <c r="C37" s="128"/>
      <c r="D37" s="128"/>
      <c r="E37" s="128"/>
      <c r="F37" s="128"/>
      <c r="G37" s="128"/>
      <c r="H37" s="129"/>
      <c r="I37" s="128"/>
      <c r="J37" s="128"/>
      <c r="K37" s="128"/>
      <c r="L37" s="128"/>
      <c r="M37" s="128"/>
      <c r="N37" s="128"/>
      <c r="O37" s="129"/>
      <c r="P37" s="128"/>
      <c r="Q37" s="129"/>
      <c r="R37" s="128"/>
      <c r="S37" s="128"/>
      <c r="T37" s="129"/>
      <c r="U37" s="130"/>
    </row>
    <row r="38" spans="1:21" x14ac:dyDescent="0.5">
      <c r="A38" s="147" t="s">
        <v>139</v>
      </c>
      <c r="B38" s="148">
        <v>109</v>
      </c>
      <c r="C38" s="148"/>
      <c r="D38" s="148"/>
      <c r="E38" s="148"/>
      <c r="F38" s="148"/>
      <c r="G38" s="148"/>
      <c r="H38" s="149">
        <v>109</v>
      </c>
      <c r="I38" s="148"/>
      <c r="J38" s="148"/>
      <c r="K38" s="148"/>
      <c r="L38" s="148"/>
      <c r="M38" s="148"/>
      <c r="N38" s="148"/>
      <c r="O38" s="149"/>
      <c r="P38" s="148">
        <v>1</v>
      </c>
      <c r="Q38" s="149">
        <v>1</v>
      </c>
      <c r="R38" s="148"/>
      <c r="S38" s="148"/>
      <c r="T38" s="149"/>
      <c r="U38" s="150">
        <v>110</v>
      </c>
    </row>
    <row r="39" spans="1:21" x14ac:dyDescent="0.5">
      <c r="A39" s="139" t="s">
        <v>105</v>
      </c>
      <c r="B39" s="140">
        <v>109</v>
      </c>
      <c r="C39" s="140"/>
      <c r="D39" s="140"/>
      <c r="E39" s="140"/>
      <c r="F39" s="140"/>
      <c r="G39" s="140"/>
      <c r="H39" s="141">
        <v>109</v>
      </c>
      <c r="I39" s="140"/>
      <c r="J39" s="140"/>
      <c r="K39" s="140"/>
      <c r="L39" s="140"/>
      <c r="M39" s="140"/>
      <c r="N39" s="140"/>
      <c r="O39" s="141"/>
      <c r="P39" s="140">
        <v>1</v>
      </c>
      <c r="Q39" s="141">
        <v>1</v>
      </c>
      <c r="R39" s="140"/>
      <c r="S39" s="140"/>
      <c r="T39" s="141"/>
      <c r="U39" s="142">
        <v>110</v>
      </c>
    </row>
    <row r="40" spans="1:21" x14ac:dyDescent="0.5">
      <c r="A40" s="151" t="s">
        <v>145</v>
      </c>
      <c r="B40" s="152">
        <v>109</v>
      </c>
      <c r="C40" s="152"/>
      <c r="D40" s="152"/>
      <c r="E40" s="152"/>
      <c r="F40" s="152"/>
      <c r="G40" s="152"/>
      <c r="H40" s="153">
        <v>109</v>
      </c>
      <c r="I40" s="152"/>
      <c r="J40" s="152"/>
      <c r="K40" s="152"/>
      <c r="L40" s="152"/>
      <c r="M40" s="152"/>
      <c r="N40" s="152"/>
      <c r="O40" s="153"/>
      <c r="P40" s="152">
        <v>1</v>
      </c>
      <c r="Q40" s="153">
        <v>1</v>
      </c>
      <c r="R40" s="152"/>
      <c r="S40" s="152"/>
      <c r="T40" s="153"/>
      <c r="U40" s="154">
        <v>110</v>
      </c>
    </row>
    <row r="41" spans="1:21" x14ac:dyDescent="0.5">
      <c r="A41" s="123" t="s">
        <v>148</v>
      </c>
      <c r="B41" s="124"/>
      <c r="C41" s="124"/>
      <c r="D41" s="124"/>
      <c r="E41" s="124"/>
      <c r="F41" s="124"/>
      <c r="G41" s="124"/>
      <c r="H41" s="125"/>
      <c r="I41" s="124"/>
      <c r="J41" s="124"/>
      <c r="K41" s="124"/>
      <c r="L41" s="124"/>
      <c r="M41" s="124"/>
      <c r="N41" s="124"/>
      <c r="O41" s="125"/>
      <c r="P41" s="124"/>
      <c r="Q41" s="125"/>
      <c r="R41" s="124"/>
      <c r="S41" s="124"/>
      <c r="T41" s="125"/>
      <c r="U41" s="126"/>
    </row>
    <row r="42" spans="1:21" x14ac:dyDescent="0.5">
      <c r="A42" s="127" t="s">
        <v>104</v>
      </c>
      <c r="B42" s="128"/>
      <c r="C42" s="128"/>
      <c r="D42" s="128"/>
      <c r="E42" s="128"/>
      <c r="F42" s="128"/>
      <c r="G42" s="128"/>
      <c r="H42" s="129"/>
      <c r="I42" s="128"/>
      <c r="J42" s="128"/>
      <c r="K42" s="128"/>
      <c r="L42" s="128"/>
      <c r="M42" s="128"/>
      <c r="N42" s="128"/>
      <c r="O42" s="129"/>
      <c r="P42" s="128"/>
      <c r="Q42" s="129"/>
      <c r="R42" s="128"/>
      <c r="S42" s="128"/>
      <c r="T42" s="129"/>
      <c r="U42" s="130"/>
    </row>
    <row r="43" spans="1:21" x14ac:dyDescent="0.5">
      <c r="A43" s="147" t="s">
        <v>139</v>
      </c>
      <c r="B43" s="148">
        <v>137</v>
      </c>
      <c r="C43" s="148"/>
      <c r="D43" s="148"/>
      <c r="E43" s="148"/>
      <c r="F43" s="148"/>
      <c r="G43" s="148"/>
      <c r="H43" s="149">
        <v>137</v>
      </c>
      <c r="I43" s="148"/>
      <c r="J43" s="148"/>
      <c r="K43" s="148"/>
      <c r="L43" s="148"/>
      <c r="M43" s="148"/>
      <c r="N43" s="148"/>
      <c r="O43" s="149"/>
      <c r="P43" s="148"/>
      <c r="Q43" s="149"/>
      <c r="R43" s="148"/>
      <c r="S43" s="148"/>
      <c r="T43" s="149"/>
      <c r="U43" s="150">
        <v>137</v>
      </c>
    </row>
    <row r="44" spans="1:21" x14ac:dyDescent="0.5">
      <c r="A44" s="139" t="s">
        <v>105</v>
      </c>
      <c r="B44" s="140">
        <v>137</v>
      </c>
      <c r="C44" s="140"/>
      <c r="D44" s="140"/>
      <c r="E44" s="140"/>
      <c r="F44" s="140"/>
      <c r="G44" s="140"/>
      <c r="H44" s="141">
        <v>137</v>
      </c>
      <c r="I44" s="140"/>
      <c r="J44" s="140"/>
      <c r="K44" s="140"/>
      <c r="L44" s="140"/>
      <c r="M44" s="140"/>
      <c r="N44" s="140"/>
      <c r="O44" s="141"/>
      <c r="P44" s="140"/>
      <c r="Q44" s="141"/>
      <c r="R44" s="140"/>
      <c r="S44" s="140"/>
      <c r="T44" s="141"/>
      <c r="U44" s="142">
        <v>137</v>
      </c>
    </row>
    <row r="45" spans="1:21" x14ac:dyDescent="0.5">
      <c r="A45" s="151" t="s">
        <v>149</v>
      </c>
      <c r="B45" s="152">
        <v>137</v>
      </c>
      <c r="C45" s="152"/>
      <c r="D45" s="152"/>
      <c r="E45" s="152"/>
      <c r="F45" s="152"/>
      <c r="G45" s="152"/>
      <c r="H45" s="153">
        <v>137</v>
      </c>
      <c r="I45" s="152"/>
      <c r="J45" s="152"/>
      <c r="K45" s="152"/>
      <c r="L45" s="152"/>
      <c r="M45" s="152"/>
      <c r="N45" s="152"/>
      <c r="O45" s="153"/>
      <c r="P45" s="152"/>
      <c r="Q45" s="153"/>
      <c r="R45" s="152"/>
      <c r="S45" s="152"/>
      <c r="T45" s="153"/>
      <c r="U45" s="154">
        <v>137</v>
      </c>
    </row>
    <row r="46" spans="1:21" x14ac:dyDescent="0.5">
      <c r="A46" s="155" t="s">
        <v>109</v>
      </c>
      <c r="B46" s="156">
        <v>1246</v>
      </c>
      <c r="C46" s="156">
        <v>880</v>
      </c>
      <c r="D46" s="156">
        <v>148</v>
      </c>
      <c r="E46" s="156">
        <v>62</v>
      </c>
      <c r="F46" s="156">
        <v>7</v>
      </c>
      <c r="G46" s="156">
        <v>3</v>
      </c>
      <c r="H46" s="156">
        <v>2346</v>
      </c>
      <c r="I46" s="156">
        <v>49</v>
      </c>
      <c r="J46" s="156">
        <v>13</v>
      </c>
      <c r="K46" s="156">
        <v>8</v>
      </c>
      <c r="L46" s="156">
        <v>5</v>
      </c>
      <c r="M46" s="156">
        <v>1</v>
      </c>
      <c r="N46" s="156">
        <v>1</v>
      </c>
      <c r="O46" s="156">
        <v>77</v>
      </c>
      <c r="P46" s="156">
        <v>51</v>
      </c>
      <c r="Q46" s="156">
        <v>51</v>
      </c>
      <c r="R46" s="156">
        <v>8</v>
      </c>
      <c r="S46" s="156">
        <v>4</v>
      </c>
      <c r="T46" s="156">
        <v>12</v>
      </c>
      <c r="U46" s="156">
        <v>2486</v>
      </c>
    </row>
    <row r="47" spans="1:21" s="159" customFormat="1" x14ac:dyDescent="0.5">
      <c r="A47" s="157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</row>
    <row r="48" spans="1:21" x14ac:dyDescent="0.5">
      <c r="U48" s="119" t="s">
        <v>141</v>
      </c>
    </row>
    <row r="49" spans="1:21" x14ac:dyDescent="0.5">
      <c r="U49" s="119" t="s">
        <v>142</v>
      </c>
    </row>
    <row r="51" spans="1:21" ht="33" x14ac:dyDescent="0.75">
      <c r="A51" s="330" t="s">
        <v>150</v>
      </c>
      <c r="B51" s="330"/>
      <c r="C51" s="330"/>
      <c r="D51" s="330"/>
      <c r="E51" s="330"/>
      <c r="F51" s="330"/>
      <c r="G51" s="330"/>
      <c r="H51" s="330"/>
      <c r="I51" s="330"/>
      <c r="J51" s="330"/>
      <c r="K51" s="330"/>
      <c r="L51" s="330"/>
      <c r="M51" s="330"/>
      <c r="N51" s="330"/>
      <c r="O51" s="330"/>
      <c r="P51" s="330"/>
      <c r="Q51" s="330"/>
      <c r="R51" s="330"/>
      <c r="S51" s="330"/>
      <c r="T51" s="330"/>
      <c r="U51" s="330"/>
    </row>
    <row r="52" spans="1:21" x14ac:dyDescent="0.5">
      <c r="A52" s="331" t="s">
        <v>73</v>
      </c>
      <c r="B52" s="332" t="s">
        <v>74</v>
      </c>
      <c r="C52" s="332"/>
      <c r="D52" s="332"/>
      <c r="E52" s="332"/>
      <c r="F52" s="332"/>
      <c r="G52" s="332"/>
      <c r="H52" s="329" t="s">
        <v>85</v>
      </c>
      <c r="I52" s="333" t="s">
        <v>125</v>
      </c>
      <c r="J52" s="334"/>
      <c r="K52" s="334"/>
      <c r="L52" s="334"/>
      <c r="M52" s="334"/>
      <c r="N52" s="334"/>
      <c r="O52" s="334"/>
      <c r="P52" s="334"/>
      <c r="Q52" s="334"/>
      <c r="R52" s="334"/>
      <c r="S52" s="334"/>
      <c r="T52" s="335"/>
      <c r="U52" s="336" t="s">
        <v>76</v>
      </c>
    </row>
    <row r="53" spans="1:21" x14ac:dyDescent="0.5">
      <c r="A53" s="331"/>
      <c r="B53" s="332"/>
      <c r="C53" s="332"/>
      <c r="D53" s="332"/>
      <c r="E53" s="332"/>
      <c r="F53" s="332"/>
      <c r="G53" s="332"/>
      <c r="H53" s="329"/>
      <c r="I53" s="339" t="s">
        <v>7</v>
      </c>
      <c r="J53" s="339"/>
      <c r="K53" s="339"/>
      <c r="L53" s="339"/>
      <c r="M53" s="339"/>
      <c r="N53" s="339"/>
      <c r="O53" s="329" t="s">
        <v>85</v>
      </c>
      <c r="P53" s="122" t="s">
        <v>9</v>
      </c>
      <c r="Q53" s="329" t="s">
        <v>85</v>
      </c>
      <c r="R53" s="339" t="s">
        <v>11</v>
      </c>
      <c r="S53" s="339"/>
      <c r="T53" s="329" t="s">
        <v>85</v>
      </c>
      <c r="U53" s="337"/>
    </row>
    <row r="54" spans="1:21" x14ac:dyDescent="0.5">
      <c r="A54" s="331"/>
      <c r="B54" s="122" t="s">
        <v>78</v>
      </c>
      <c r="C54" s="122" t="s">
        <v>79</v>
      </c>
      <c r="D54" s="122" t="s">
        <v>80</v>
      </c>
      <c r="E54" s="122" t="s">
        <v>81</v>
      </c>
      <c r="F54" s="122" t="s">
        <v>82</v>
      </c>
      <c r="G54" s="122" t="s">
        <v>83</v>
      </c>
      <c r="H54" s="329"/>
      <c r="I54" s="122" t="s">
        <v>78</v>
      </c>
      <c r="J54" s="122" t="s">
        <v>79</v>
      </c>
      <c r="K54" s="122" t="s">
        <v>80</v>
      </c>
      <c r="L54" s="122" t="s">
        <v>81</v>
      </c>
      <c r="M54" s="122" t="s">
        <v>82</v>
      </c>
      <c r="N54" s="122" t="s">
        <v>83</v>
      </c>
      <c r="O54" s="329"/>
      <c r="P54" s="122" t="s">
        <v>78</v>
      </c>
      <c r="Q54" s="329"/>
      <c r="R54" s="122" t="s">
        <v>78</v>
      </c>
      <c r="S54" s="122" t="s">
        <v>80</v>
      </c>
      <c r="T54" s="329"/>
      <c r="U54" s="338"/>
    </row>
    <row r="55" spans="1:21" x14ac:dyDescent="0.5">
      <c r="A55" s="123" t="s">
        <v>129</v>
      </c>
      <c r="B55" s="124"/>
      <c r="C55" s="124"/>
      <c r="D55" s="124"/>
      <c r="E55" s="124"/>
      <c r="F55" s="124"/>
      <c r="G55" s="124"/>
      <c r="H55" s="125"/>
      <c r="I55" s="124"/>
      <c r="J55" s="124"/>
      <c r="K55" s="124"/>
      <c r="L55" s="124"/>
      <c r="M55" s="124"/>
      <c r="N55" s="124"/>
      <c r="O55" s="125"/>
      <c r="P55" s="124"/>
      <c r="Q55" s="125"/>
      <c r="R55" s="124"/>
      <c r="S55" s="124"/>
      <c r="T55" s="125"/>
      <c r="U55" s="126"/>
    </row>
    <row r="56" spans="1:21" x14ac:dyDescent="0.5">
      <c r="A56" s="139" t="s">
        <v>90</v>
      </c>
      <c r="B56" s="140">
        <v>455</v>
      </c>
      <c r="C56" s="140">
        <v>674</v>
      </c>
      <c r="D56" s="140">
        <v>26</v>
      </c>
      <c r="E56" s="140">
        <v>2</v>
      </c>
      <c r="F56" s="140"/>
      <c r="G56" s="140"/>
      <c r="H56" s="141">
        <v>1157</v>
      </c>
      <c r="I56" s="140">
        <v>17</v>
      </c>
      <c r="J56" s="140">
        <v>10</v>
      </c>
      <c r="K56" s="140">
        <v>3</v>
      </c>
      <c r="L56" s="140">
        <v>2</v>
      </c>
      <c r="M56" s="140"/>
      <c r="N56" s="140"/>
      <c r="O56" s="141">
        <v>32</v>
      </c>
      <c r="P56" s="140">
        <v>27</v>
      </c>
      <c r="Q56" s="141">
        <v>27</v>
      </c>
      <c r="R56" s="140">
        <v>4</v>
      </c>
      <c r="S56" s="140">
        <v>2</v>
      </c>
      <c r="T56" s="141">
        <v>6</v>
      </c>
      <c r="U56" s="142">
        <v>1222</v>
      </c>
    </row>
    <row r="57" spans="1:21" x14ac:dyDescent="0.5">
      <c r="A57" s="139" t="s">
        <v>96</v>
      </c>
      <c r="B57" s="140">
        <v>45</v>
      </c>
      <c r="C57" s="140">
        <v>42</v>
      </c>
      <c r="D57" s="140">
        <v>52</v>
      </c>
      <c r="E57" s="140">
        <v>10</v>
      </c>
      <c r="F57" s="140"/>
      <c r="G57" s="140"/>
      <c r="H57" s="141">
        <v>149</v>
      </c>
      <c r="I57" s="140">
        <v>3</v>
      </c>
      <c r="J57" s="140"/>
      <c r="K57" s="140">
        <v>3</v>
      </c>
      <c r="L57" s="140">
        <v>2</v>
      </c>
      <c r="M57" s="140"/>
      <c r="N57" s="140"/>
      <c r="O57" s="141">
        <v>8</v>
      </c>
      <c r="P57" s="140">
        <v>5</v>
      </c>
      <c r="Q57" s="141">
        <v>5</v>
      </c>
      <c r="R57" s="140"/>
      <c r="S57" s="140">
        <v>1</v>
      </c>
      <c r="T57" s="141">
        <v>1</v>
      </c>
      <c r="U57" s="142">
        <v>163</v>
      </c>
    </row>
    <row r="58" spans="1:21" x14ac:dyDescent="0.5">
      <c r="A58" s="139" t="s">
        <v>101</v>
      </c>
      <c r="B58" s="140">
        <v>86</v>
      </c>
      <c r="C58" s="140">
        <v>79</v>
      </c>
      <c r="D58" s="140">
        <v>66</v>
      </c>
      <c r="E58" s="140">
        <v>50</v>
      </c>
      <c r="F58" s="140">
        <v>7</v>
      </c>
      <c r="G58" s="140">
        <v>3</v>
      </c>
      <c r="H58" s="141">
        <v>291</v>
      </c>
      <c r="I58" s="140">
        <v>7</v>
      </c>
      <c r="J58" s="140">
        <v>1</v>
      </c>
      <c r="K58" s="140">
        <v>2</v>
      </c>
      <c r="L58" s="140">
        <v>1</v>
      </c>
      <c r="M58" s="140">
        <v>1</v>
      </c>
      <c r="N58" s="140">
        <v>1</v>
      </c>
      <c r="O58" s="141">
        <v>13</v>
      </c>
      <c r="P58" s="140">
        <v>4</v>
      </c>
      <c r="Q58" s="141">
        <v>4</v>
      </c>
      <c r="R58" s="140">
        <v>2</v>
      </c>
      <c r="S58" s="140">
        <v>1</v>
      </c>
      <c r="T58" s="141">
        <v>3</v>
      </c>
      <c r="U58" s="142">
        <v>311</v>
      </c>
    </row>
    <row r="59" spans="1:21" x14ac:dyDescent="0.5">
      <c r="A59" s="139" t="s">
        <v>105</v>
      </c>
      <c r="B59" s="140">
        <v>151</v>
      </c>
      <c r="C59" s="140"/>
      <c r="D59" s="140"/>
      <c r="E59" s="140"/>
      <c r="F59" s="140"/>
      <c r="G59" s="140"/>
      <c r="H59" s="141">
        <v>151</v>
      </c>
      <c r="I59" s="140">
        <v>4</v>
      </c>
      <c r="J59" s="140"/>
      <c r="K59" s="140"/>
      <c r="L59" s="140"/>
      <c r="M59" s="140"/>
      <c r="N59" s="140"/>
      <c r="O59" s="141">
        <v>4</v>
      </c>
      <c r="P59" s="140"/>
      <c r="Q59" s="141"/>
      <c r="R59" s="140"/>
      <c r="S59" s="140"/>
      <c r="T59" s="141"/>
      <c r="U59" s="142">
        <v>155</v>
      </c>
    </row>
    <row r="60" spans="1:21" x14ac:dyDescent="0.5">
      <c r="A60" s="151" t="s">
        <v>140</v>
      </c>
      <c r="B60" s="152">
        <v>737</v>
      </c>
      <c r="C60" s="152">
        <v>795</v>
      </c>
      <c r="D60" s="152">
        <v>144</v>
      </c>
      <c r="E60" s="152">
        <v>62</v>
      </c>
      <c r="F60" s="152">
        <v>7</v>
      </c>
      <c r="G60" s="152">
        <v>3</v>
      </c>
      <c r="H60" s="153">
        <v>1748</v>
      </c>
      <c r="I60" s="152">
        <v>31</v>
      </c>
      <c r="J60" s="152">
        <v>11</v>
      </c>
      <c r="K60" s="152">
        <v>8</v>
      </c>
      <c r="L60" s="152">
        <v>5</v>
      </c>
      <c r="M60" s="152">
        <v>1</v>
      </c>
      <c r="N60" s="152">
        <v>1</v>
      </c>
      <c r="O60" s="153">
        <v>57</v>
      </c>
      <c r="P60" s="152">
        <v>36</v>
      </c>
      <c r="Q60" s="153">
        <v>36</v>
      </c>
      <c r="R60" s="152">
        <v>6</v>
      </c>
      <c r="S60" s="152">
        <v>4</v>
      </c>
      <c r="T60" s="153">
        <v>10</v>
      </c>
      <c r="U60" s="154">
        <v>1851</v>
      </c>
    </row>
    <row r="61" spans="1:21" x14ac:dyDescent="0.5">
      <c r="A61" s="123" t="s">
        <v>146</v>
      </c>
      <c r="B61" s="124"/>
      <c r="C61" s="124"/>
      <c r="D61" s="124"/>
      <c r="E61" s="124"/>
      <c r="F61" s="124"/>
      <c r="G61" s="124"/>
      <c r="H61" s="125"/>
      <c r="I61" s="124"/>
      <c r="J61" s="124"/>
      <c r="K61" s="124"/>
      <c r="L61" s="124"/>
      <c r="M61" s="124"/>
      <c r="N61" s="124"/>
      <c r="O61" s="125"/>
      <c r="P61" s="124"/>
      <c r="Q61" s="125"/>
      <c r="R61" s="124"/>
      <c r="S61" s="124"/>
      <c r="T61" s="125"/>
      <c r="U61" s="126"/>
    </row>
    <row r="62" spans="1:21" x14ac:dyDescent="0.5">
      <c r="A62" s="139" t="s">
        <v>90</v>
      </c>
      <c r="B62" s="140">
        <v>62</v>
      </c>
      <c r="C62" s="140">
        <v>85</v>
      </c>
      <c r="D62" s="140">
        <v>4</v>
      </c>
      <c r="E62" s="140"/>
      <c r="F62" s="140"/>
      <c r="G62" s="140"/>
      <c r="H62" s="141">
        <v>151</v>
      </c>
      <c r="I62" s="140">
        <v>11</v>
      </c>
      <c r="J62" s="140">
        <v>2</v>
      </c>
      <c r="K62" s="140"/>
      <c r="L62" s="140"/>
      <c r="M62" s="140"/>
      <c r="N62" s="140"/>
      <c r="O62" s="141">
        <v>13</v>
      </c>
      <c r="P62" s="140">
        <v>14</v>
      </c>
      <c r="Q62" s="141">
        <v>14</v>
      </c>
      <c r="R62" s="140">
        <v>2</v>
      </c>
      <c r="S62" s="140"/>
      <c r="T62" s="141">
        <v>2</v>
      </c>
      <c r="U62" s="142">
        <v>180</v>
      </c>
    </row>
    <row r="63" spans="1:21" x14ac:dyDescent="0.5">
      <c r="A63" s="139" t="s">
        <v>105</v>
      </c>
      <c r="B63" s="140">
        <v>201</v>
      </c>
      <c r="C63" s="140"/>
      <c r="D63" s="140"/>
      <c r="E63" s="140"/>
      <c r="F63" s="140"/>
      <c r="G63" s="140"/>
      <c r="H63" s="141">
        <v>201</v>
      </c>
      <c r="I63" s="140">
        <v>7</v>
      </c>
      <c r="J63" s="140"/>
      <c r="K63" s="140"/>
      <c r="L63" s="140"/>
      <c r="M63" s="140"/>
      <c r="N63" s="140"/>
      <c r="O63" s="141">
        <v>7</v>
      </c>
      <c r="P63" s="140"/>
      <c r="Q63" s="141"/>
      <c r="R63" s="140"/>
      <c r="S63" s="140"/>
      <c r="T63" s="141"/>
      <c r="U63" s="142">
        <v>208</v>
      </c>
    </row>
    <row r="64" spans="1:21" x14ac:dyDescent="0.5">
      <c r="A64" s="151" t="s">
        <v>147</v>
      </c>
      <c r="B64" s="152">
        <v>263</v>
      </c>
      <c r="C64" s="152">
        <v>85</v>
      </c>
      <c r="D64" s="152">
        <v>4</v>
      </c>
      <c r="E64" s="152"/>
      <c r="F64" s="152"/>
      <c r="G64" s="152"/>
      <c r="H64" s="153">
        <v>352</v>
      </c>
      <c r="I64" s="152">
        <v>18</v>
      </c>
      <c r="J64" s="152">
        <v>2</v>
      </c>
      <c r="K64" s="152"/>
      <c r="L64" s="152"/>
      <c r="M64" s="152"/>
      <c r="N64" s="152"/>
      <c r="O64" s="153">
        <v>20</v>
      </c>
      <c r="P64" s="152">
        <v>14</v>
      </c>
      <c r="Q64" s="153">
        <v>14</v>
      </c>
      <c r="R64" s="152">
        <v>2</v>
      </c>
      <c r="S64" s="152"/>
      <c r="T64" s="153">
        <v>2</v>
      </c>
      <c r="U64" s="154">
        <v>388</v>
      </c>
    </row>
    <row r="65" spans="1:21" x14ac:dyDescent="0.5">
      <c r="A65" s="123" t="s">
        <v>144</v>
      </c>
      <c r="B65" s="124"/>
      <c r="C65" s="124"/>
      <c r="D65" s="124"/>
      <c r="E65" s="124"/>
      <c r="F65" s="124"/>
      <c r="G65" s="124"/>
      <c r="H65" s="125"/>
      <c r="I65" s="124"/>
      <c r="J65" s="124"/>
      <c r="K65" s="124"/>
      <c r="L65" s="124"/>
      <c r="M65" s="124"/>
      <c r="N65" s="124"/>
      <c r="O65" s="125"/>
      <c r="P65" s="124"/>
      <c r="Q65" s="125"/>
      <c r="R65" s="124"/>
      <c r="S65" s="124"/>
      <c r="T65" s="125"/>
      <c r="U65" s="126"/>
    </row>
    <row r="66" spans="1:21" x14ac:dyDescent="0.5">
      <c r="A66" s="139" t="s">
        <v>105</v>
      </c>
      <c r="B66" s="140">
        <v>109</v>
      </c>
      <c r="C66" s="140"/>
      <c r="D66" s="140"/>
      <c r="E66" s="140"/>
      <c r="F66" s="140"/>
      <c r="G66" s="140"/>
      <c r="H66" s="141">
        <v>109</v>
      </c>
      <c r="I66" s="140"/>
      <c r="J66" s="140"/>
      <c r="K66" s="140"/>
      <c r="L66" s="140"/>
      <c r="M66" s="140"/>
      <c r="N66" s="140"/>
      <c r="O66" s="141"/>
      <c r="P66" s="140">
        <v>1</v>
      </c>
      <c r="Q66" s="141">
        <v>1</v>
      </c>
      <c r="R66" s="140"/>
      <c r="S66" s="140"/>
      <c r="T66" s="141"/>
      <c r="U66" s="142">
        <v>110</v>
      </c>
    </row>
    <row r="67" spans="1:21" x14ac:dyDescent="0.5">
      <c r="A67" s="151" t="s">
        <v>145</v>
      </c>
      <c r="B67" s="152">
        <v>109</v>
      </c>
      <c r="C67" s="152"/>
      <c r="D67" s="152"/>
      <c r="E67" s="152"/>
      <c r="F67" s="152"/>
      <c r="G67" s="152"/>
      <c r="H67" s="153">
        <v>109</v>
      </c>
      <c r="I67" s="152"/>
      <c r="J67" s="152"/>
      <c r="K67" s="152"/>
      <c r="L67" s="152"/>
      <c r="M67" s="152"/>
      <c r="N67" s="152"/>
      <c r="O67" s="153"/>
      <c r="P67" s="152">
        <v>1</v>
      </c>
      <c r="Q67" s="153">
        <v>1</v>
      </c>
      <c r="R67" s="152"/>
      <c r="S67" s="152"/>
      <c r="T67" s="153"/>
      <c r="U67" s="154">
        <v>110</v>
      </c>
    </row>
    <row r="68" spans="1:21" x14ac:dyDescent="0.5">
      <c r="A68" s="123" t="s">
        <v>148</v>
      </c>
      <c r="B68" s="124"/>
      <c r="C68" s="124"/>
      <c r="D68" s="124"/>
      <c r="E68" s="124"/>
      <c r="F68" s="124"/>
      <c r="G68" s="124"/>
      <c r="H68" s="125"/>
      <c r="I68" s="124"/>
      <c r="J68" s="124"/>
      <c r="K68" s="124"/>
      <c r="L68" s="124"/>
      <c r="M68" s="124"/>
      <c r="N68" s="124"/>
      <c r="O68" s="125"/>
      <c r="P68" s="124"/>
      <c r="Q68" s="125"/>
      <c r="R68" s="124"/>
      <c r="S68" s="124"/>
      <c r="T68" s="125"/>
      <c r="U68" s="126"/>
    </row>
    <row r="69" spans="1:21" x14ac:dyDescent="0.5">
      <c r="A69" s="139" t="s">
        <v>105</v>
      </c>
      <c r="B69" s="140">
        <v>137</v>
      </c>
      <c r="C69" s="140"/>
      <c r="D69" s="140"/>
      <c r="E69" s="140"/>
      <c r="F69" s="140"/>
      <c r="G69" s="140"/>
      <c r="H69" s="141">
        <v>137</v>
      </c>
      <c r="I69" s="140"/>
      <c r="J69" s="140"/>
      <c r="K69" s="140"/>
      <c r="L69" s="140"/>
      <c r="M69" s="140"/>
      <c r="N69" s="140"/>
      <c r="O69" s="141"/>
      <c r="P69" s="140"/>
      <c r="Q69" s="141"/>
      <c r="R69" s="140"/>
      <c r="S69" s="140"/>
      <c r="T69" s="141"/>
      <c r="U69" s="142">
        <v>137</v>
      </c>
    </row>
    <row r="70" spans="1:21" x14ac:dyDescent="0.5">
      <c r="A70" s="151" t="s">
        <v>149</v>
      </c>
      <c r="B70" s="152">
        <v>137</v>
      </c>
      <c r="C70" s="152"/>
      <c r="D70" s="152"/>
      <c r="E70" s="152"/>
      <c r="F70" s="152"/>
      <c r="G70" s="152"/>
      <c r="H70" s="153">
        <v>137</v>
      </c>
      <c r="I70" s="152"/>
      <c r="J70" s="152"/>
      <c r="K70" s="152"/>
      <c r="L70" s="152"/>
      <c r="M70" s="152"/>
      <c r="N70" s="152"/>
      <c r="O70" s="153"/>
      <c r="P70" s="152"/>
      <c r="Q70" s="153"/>
      <c r="R70" s="152"/>
      <c r="S70" s="152"/>
      <c r="T70" s="153"/>
      <c r="U70" s="154">
        <v>137</v>
      </c>
    </row>
    <row r="71" spans="1:21" x14ac:dyDescent="0.5">
      <c r="A71" s="155" t="s">
        <v>109</v>
      </c>
      <c r="B71" s="156">
        <v>1246</v>
      </c>
      <c r="C71" s="156">
        <v>880</v>
      </c>
      <c r="D71" s="156">
        <v>148</v>
      </c>
      <c r="E71" s="156">
        <v>62</v>
      </c>
      <c r="F71" s="156">
        <v>7</v>
      </c>
      <c r="G71" s="156">
        <v>3</v>
      </c>
      <c r="H71" s="156">
        <v>2346</v>
      </c>
      <c r="I71" s="156">
        <v>49</v>
      </c>
      <c r="J71" s="156">
        <v>13</v>
      </c>
      <c r="K71" s="156">
        <v>8</v>
      </c>
      <c r="L71" s="156">
        <v>5</v>
      </c>
      <c r="M71" s="156">
        <v>1</v>
      </c>
      <c r="N71" s="156">
        <v>1</v>
      </c>
      <c r="O71" s="156">
        <v>77</v>
      </c>
      <c r="P71" s="156">
        <v>51</v>
      </c>
      <c r="Q71" s="156">
        <v>51</v>
      </c>
      <c r="R71" s="156">
        <v>8</v>
      </c>
      <c r="S71" s="156">
        <v>4</v>
      </c>
      <c r="T71" s="156">
        <v>12</v>
      </c>
      <c r="U71" s="156">
        <v>2486</v>
      </c>
    </row>
    <row r="72" spans="1:21" s="159" customFormat="1" x14ac:dyDescent="0.5">
      <c r="A72" s="157"/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</row>
    <row r="73" spans="1:21" x14ac:dyDescent="0.5">
      <c r="U73" s="119" t="s">
        <v>141</v>
      </c>
    </row>
    <row r="74" spans="1:21" x14ac:dyDescent="0.5">
      <c r="U74" s="119" t="s">
        <v>142</v>
      </c>
    </row>
  </sheetData>
  <autoFilter ref="A4:U46"/>
  <mergeCells count="22">
    <mergeCell ref="A51:U51"/>
    <mergeCell ref="A52:A54"/>
    <mergeCell ref="B52:G53"/>
    <mergeCell ref="H52:H54"/>
    <mergeCell ref="I52:T52"/>
    <mergeCell ref="U52:U54"/>
    <mergeCell ref="I53:N53"/>
    <mergeCell ref="O53:O54"/>
    <mergeCell ref="Q53:Q54"/>
    <mergeCell ref="R53:S53"/>
    <mergeCell ref="T53:T54"/>
    <mergeCell ref="T3:T4"/>
    <mergeCell ref="A1:U1"/>
    <mergeCell ref="A2:A4"/>
    <mergeCell ref="B2:G3"/>
    <mergeCell ref="H2:H4"/>
    <mergeCell ref="I2:T2"/>
    <mergeCell ref="U2:U4"/>
    <mergeCell ref="I3:N3"/>
    <mergeCell ref="O3:O4"/>
    <mergeCell ref="Q3:Q4"/>
    <mergeCell ref="R3:S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0" orientation="landscape" r:id="rId1"/>
  <headerFooter differentFirst="1">
    <oddFooter>&amp;L&amp;14จำนวนนิสิตจำแนกตามสถานภาพนิสิต ภาคปลาย ปีการศึกษา 2556 ระดับปริญญาตรีเทียบเข้า ระบบพิเศษ&amp;R&amp;14&amp;P/&amp;N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29"/>
  <sheetViews>
    <sheetView tabSelected="1" view="pageBreakPreview" zoomScale="60" zoomScaleNormal="100" workbookViewId="0">
      <selection activeCell="AB13" sqref="AB13"/>
    </sheetView>
  </sheetViews>
  <sheetFormatPr defaultRowHeight="24" x14ac:dyDescent="0.55000000000000004"/>
  <cols>
    <col min="1" max="1" width="35.25" customWidth="1"/>
    <col min="2" max="10" width="5.875" style="106" bestFit="1" customWidth="1"/>
    <col min="11" max="11" width="9.125" style="106" bestFit="1" customWidth="1"/>
    <col min="12" max="16" width="5.875" style="106" bestFit="1" customWidth="1"/>
    <col min="17" max="17" width="3.875" style="106" bestFit="1" customWidth="1"/>
    <col min="18" max="18" width="9.125" style="106" bestFit="1" customWidth="1"/>
  </cols>
  <sheetData>
    <row r="1" spans="1:18" x14ac:dyDescent="0.55000000000000004">
      <c r="A1" s="297" t="s">
        <v>110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</row>
    <row r="2" spans="1:18" s="101" customFormat="1" ht="24.6" customHeight="1" x14ac:dyDescent="0.5">
      <c r="A2" s="384" t="s">
        <v>73</v>
      </c>
      <c r="B2" s="298" t="s">
        <v>74</v>
      </c>
      <c r="C2" s="299"/>
      <c r="D2" s="299"/>
      <c r="E2" s="299"/>
      <c r="F2" s="299"/>
      <c r="G2" s="299"/>
      <c r="H2" s="299"/>
      <c r="I2" s="300"/>
      <c r="J2" s="308" t="s">
        <v>75</v>
      </c>
      <c r="K2" s="309"/>
      <c r="L2" s="309"/>
      <c r="M2" s="309"/>
      <c r="N2" s="309"/>
      <c r="O2" s="309"/>
      <c r="P2" s="309"/>
      <c r="Q2" s="310"/>
      <c r="R2" s="311" t="s">
        <v>76</v>
      </c>
    </row>
    <row r="3" spans="1:18" x14ac:dyDescent="0.55000000000000004">
      <c r="A3" s="384"/>
      <c r="B3" s="301"/>
      <c r="C3" s="302"/>
      <c r="D3" s="302"/>
      <c r="E3" s="302"/>
      <c r="F3" s="302"/>
      <c r="G3" s="302"/>
      <c r="H3" s="302"/>
      <c r="I3" s="303"/>
      <c r="J3" s="312" t="s">
        <v>77</v>
      </c>
      <c r="K3" s="313"/>
      <c r="L3" s="313"/>
      <c r="M3" s="313"/>
      <c r="N3" s="313"/>
      <c r="O3" s="313"/>
      <c r="P3" s="313"/>
      <c r="Q3" s="314"/>
      <c r="R3" s="311"/>
    </row>
    <row r="4" spans="1:18" x14ac:dyDescent="0.55000000000000004">
      <c r="A4" s="384"/>
      <c r="B4" s="109" t="s">
        <v>78</v>
      </c>
      <c r="C4" s="109" t="s">
        <v>79</v>
      </c>
      <c r="D4" s="109" t="s">
        <v>80</v>
      </c>
      <c r="E4" s="109" t="s">
        <v>81</v>
      </c>
      <c r="F4" s="109" t="s">
        <v>82</v>
      </c>
      <c r="G4" s="109" t="s">
        <v>83</v>
      </c>
      <c r="H4" s="109" t="s">
        <v>84</v>
      </c>
      <c r="I4" s="102" t="s">
        <v>85</v>
      </c>
      <c r="J4" s="109" t="s">
        <v>78</v>
      </c>
      <c r="K4" s="109" t="s">
        <v>79</v>
      </c>
      <c r="L4" s="109" t="s">
        <v>80</v>
      </c>
      <c r="M4" s="109" t="s">
        <v>81</v>
      </c>
      <c r="N4" s="109" t="s">
        <v>82</v>
      </c>
      <c r="O4" s="109" t="s">
        <v>83</v>
      </c>
      <c r="P4" s="109" t="s">
        <v>86</v>
      </c>
      <c r="Q4" s="102" t="s">
        <v>85</v>
      </c>
      <c r="R4" s="311"/>
    </row>
    <row r="5" spans="1:18" x14ac:dyDescent="0.55000000000000004">
      <c r="A5" s="355" t="s">
        <v>87</v>
      </c>
      <c r="B5" s="379">
        <v>5</v>
      </c>
      <c r="C5" s="379" t="s">
        <v>160</v>
      </c>
      <c r="D5" s="379"/>
      <c r="E5" s="379"/>
      <c r="F5" s="379"/>
      <c r="G5" s="379">
        <v>2</v>
      </c>
      <c r="H5" s="379"/>
      <c r="I5" s="380">
        <v>7</v>
      </c>
      <c r="J5" s="379"/>
      <c r="K5" s="379"/>
      <c r="L5" s="379"/>
      <c r="M5" s="379"/>
      <c r="N5" s="379"/>
      <c r="O5" s="379"/>
      <c r="P5" s="379">
        <v>2</v>
      </c>
      <c r="Q5" s="380">
        <v>2</v>
      </c>
      <c r="R5" s="379">
        <v>9</v>
      </c>
    </row>
    <row r="6" spans="1:18" x14ac:dyDescent="0.55000000000000004">
      <c r="A6" s="358" t="s">
        <v>90</v>
      </c>
      <c r="B6" s="381">
        <v>25</v>
      </c>
      <c r="C6" s="381">
        <v>23</v>
      </c>
      <c r="D6" s="381">
        <v>40</v>
      </c>
      <c r="E6" s="381">
        <v>2</v>
      </c>
      <c r="F6" s="381"/>
      <c r="G6" s="381"/>
      <c r="H6" s="381"/>
      <c r="I6" s="382">
        <v>90</v>
      </c>
      <c r="J6" s="381">
        <v>1</v>
      </c>
      <c r="K6" s="381"/>
      <c r="L6" s="381"/>
      <c r="M6" s="381"/>
      <c r="N6" s="381"/>
      <c r="O6" s="381"/>
      <c r="P6" s="381"/>
      <c r="Q6" s="382">
        <v>1</v>
      </c>
      <c r="R6" s="381">
        <v>91</v>
      </c>
    </row>
    <row r="7" spans="1:18" x14ac:dyDescent="0.55000000000000004">
      <c r="A7" s="358" t="s">
        <v>91</v>
      </c>
      <c r="B7" s="381">
        <v>3</v>
      </c>
      <c r="C7" s="381">
        <v>9</v>
      </c>
      <c r="D7" s="381">
        <v>4</v>
      </c>
      <c r="E7" s="381">
        <v>4</v>
      </c>
      <c r="F7" s="381">
        <v>5</v>
      </c>
      <c r="G7" s="381">
        <v>1</v>
      </c>
      <c r="H7" s="381"/>
      <c r="I7" s="382">
        <v>26</v>
      </c>
      <c r="J7" s="381"/>
      <c r="K7" s="381">
        <v>1</v>
      </c>
      <c r="L7" s="381"/>
      <c r="M7" s="381"/>
      <c r="N7" s="381"/>
      <c r="O7" s="381"/>
      <c r="P7" s="381"/>
      <c r="Q7" s="382">
        <v>1</v>
      </c>
      <c r="R7" s="381">
        <v>27</v>
      </c>
    </row>
    <row r="8" spans="1:18" x14ac:dyDescent="0.55000000000000004">
      <c r="A8" s="358" t="s">
        <v>92</v>
      </c>
      <c r="B8" s="381">
        <v>10</v>
      </c>
      <c r="C8" s="381">
        <v>6</v>
      </c>
      <c r="D8" s="381">
        <v>4</v>
      </c>
      <c r="E8" s="381"/>
      <c r="F8" s="381"/>
      <c r="G8" s="381"/>
      <c r="H8" s="381"/>
      <c r="I8" s="382">
        <v>20</v>
      </c>
      <c r="J8" s="381"/>
      <c r="K8" s="381"/>
      <c r="L8" s="381"/>
      <c r="M8" s="381"/>
      <c r="N8" s="381"/>
      <c r="O8" s="381"/>
      <c r="P8" s="381"/>
      <c r="Q8" s="382"/>
      <c r="R8" s="381">
        <v>20</v>
      </c>
    </row>
    <row r="9" spans="1:18" x14ac:dyDescent="0.55000000000000004">
      <c r="A9" s="358" t="s">
        <v>93</v>
      </c>
      <c r="B9" s="381">
        <v>6</v>
      </c>
      <c r="C9" s="381">
        <v>14</v>
      </c>
      <c r="D9" s="381">
        <v>9</v>
      </c>
      <c r="E9" s="381">
        <v>8</v>
      </c>
      <c r="F9" s="381">
        <v>1</v>
      </c>
      <c r="G9" s="381">
        <v>1</v>
      </c>
      <c r="H9" s="381">
        <v>1</v>
      </c>
      <c r="I9" s="382">
        <v>40</v>
      </c>
      <c r="J9" s="381"/>
      <c r="K9" s="381"/>
      <c r="L9" s="381">
        <v>1</v>
      </c>
      <c r="M9" s="381">
        <v>1</v>
      </c>
      <c r="N9" s="381"/>
      <c r="O9" s="381"/>
      <c r="P9" s="381"/>
      <c r="Q9" s="382">
        <v>2</v>
      </c>
      <c r="R9" s="381">
        <v>42</v>
      </c>
    </row>
    <row r="10" spans="1:18" x14ac:dyDescent="0.55000000000000004">
      <c r="A10" s="358" t="s">
        <v>94</v>
      </c>
      <c r="B10" s="381">
        <v>30</v>
      </c>
      <c r="C10" s="381">
        <v>47</v>
      </c>
      <c r="D10" s="381">
        <v>24</v>
      </c>
      <c r="E10" s="381">
        <v>12</v>
      </c>
      <c r="F10" s="381">
        <v>5</v>
      </c>
      <c r="G10" s="381">
        <v>9</v>
      </c>
      <c r="H10" s="381"/>
      <c r="I10" s="382">
        <v>127</v>
      </c>
      <c r="J10" s="381">
        <v>1</v>
      </c>
      <c r="K10" s="381">
        <v>3</v>
      </c>
      <c r="L10" s="381">
        <v>2</v>
      </c>
      <c r="M10" s="381">
        <v>1</v>
      </c>
      <c r="N10" s="381">
        <v>1</v>
      </c>
      <c r="O10" s="381"/>
      <c r="P10" s="381"/>
      <c r="Q10" s="382">
        <v>8</v>
      </c>
      <c r="R10" s="381">
        <v>135</v>
      </c>
    </row>
    <row r="11" spans="1:18" x14ac:dyDescent="0.55000000000000004">
      <c r="A11" s="358" t="s">
        <v>96</v>
      </c>
      <c r="B11" s="381">
        <v>3</v>
      </c>
      <c r="C11" s="381">
        <v>1</v>
      </c>
      <c r="D11" s="381"/>
      <c r="E11" s="381"/>
      <c r="F11" s="381"/>
      <c r="G11" s="381"/>
      <c r="H11" s="381"/>
      <c r="I11" s="382">
        <v>4</v>
      </c>
      <c r="J11" s="381"/>
      <c r="K11" s="381"/>
      <c r="L11" s="381"/>
      <c r="M11" s="381"/>
      <c r="N11" s="381"/>
      <c r="O11" s="381"/>
      <c r="P11" s="381"/>
      <c r="Q11" s="382"/>
      <c r="R11" s="381">
        <v>4</v>
      </c>
    </row>
    <row r="12" spans="1:18" x14ac:dyDescent="0.55000000000000004">
      <c r="A12" s="358" t="s">
        <v>97</v>
      </c>
      <c r="B12" s="381">
        <v>9</v>
      </c>
      <c r="C12" s="381">
        <v>19</v>
      </c>
      <c r="D12" s="381">
        <v>6</v>
      </c>
      <c r="E12" s="381">
        <v>3</v>
      </c>
      <c r="F12" s="381"/>
      <c r="G12" s="381"/>
      <c r="H12" s="381"/>
      <c r="I12" s="382">
        <v>37</v>
      </c>
      <c r="J12" s="381"/>
      <c r="K12" s="381"/>
      <c r="L12" s="381"/>
      <c r="M12" s="381"/>
      <c r="N12" s="381"/>
      <c r="O12" s="381"/>
      <c r="P12" s="381"/>
      <c r="Q12" s="382"/>
      <c r="R12" s="381">
        <v>37</v>
      </c>
    </row>
    <row r="13" spans="1:18" x14ac:dyDescent="0.55000000000000004">
      <c r="A13" s="358" t="s">
        <v>101</v>
      </c>
      <c r="B13" s="381">
        <v>16</v>
      </c>
      <c r="C13" s="381">
        <v>13</v>
      </c>
      <c r="D13" s="381">
        <v>12</v>
      </c>
      <c r="E13" s="381">
        <v>2</v>
      </c>
      <c r="F13" s="381">
        <v>1</v>
      </c>
      <c r="G13" s="381">
        <v>2</v>
      </c>
      <c r="H13" s="381"/>
      <c r="I13" s="382">
        <v>46</v>
      </c>
      <c r="J13" s="381"/>
      <c r="K13" s="381">
        <v>2</v>
      </c>
      <c r="L13" s="381"/>
      <c r="M13" s="381">
        <v>4</v>
      </c>
      <c r="N13" s="381"/>
      <c r="O13" s="381"/>
      <c r="P13" s="381"/>
      <c r="Q13" s="382">
        <v>6</v>
      </c>
      <c r="R13" s="381">
        <v>52</v>
      </c>
    </row>
    <row r="14" spans="1:18" x14ac:dyDescent="0.55000000000000004">
      <c r="A14" s="358" t="s">
        <v>102</v>
      </c>
      <c r="B14" s="381">
        <v>6</v>
      </c>
      <c r="C14" s="381">
        <v>3</v>
      </c>
      <c r="D14" s="381">
        <v>4</v>
      </c>
      <c r="E14" s="381">
        <v>1</v>
      </c>
      <c r="F14" s="381"/>
      <c r="G14" s="381"/>
      <c r="H14" s="381"/>
      <c r="I14" s="382">
        <v>14</v>
      </c>
      <c r="J14" s="381"/>
      <c r="K14" s="381"/>
      <c r="L14" s="381">
        <v>1</v>
      </c>
      <c r="M14" s="381"/>
      <c r="N14" s="381"/>
      <c r="O14" s="381"/>
      <c r="P14" s="381"/>
      <c r="Q14" s="382">
        <v>1</v>
      </c>
      <c r="R14" s="381">
        <v>15</v>
      </c>
    </row>
    <row r="15" spans="1:18" x14ac:dyDescent="0.55000000000000004">
      <c r="A15" s="358" t="s">
        <v>103</v>
      </c>
      <c r="B15" s="381">
        <v>45</v>
      </c>
      <c r="C15" s="381">
        <v>23</v>
      </c>
      <c r="D15" s="381">
        <v>46</v>
      </c>
      <c r="E15" s="381">
        <v>52</v>
      </c>
      <c r="F15" s="381">
        <v>18</v>
      </c>
      <c r="G15" s="381">
        <v>10</v>
      </c>
      <c r="H15" s="381"/>
      <c r="I15" s="382">
        <v>194</v>
      </c>
      <c r="J15" s="381">
        <v>1</v>
      </c>
      <c r="K15" s="381">
        <v>1</v>
      </c>
      <c r="L15" s="381">
        <v>3</v>
      </c>
      <c r="M15" s="381">
        <v>1</v>
      </c>
      <c r="N15" s="381">
        <v>2</v>
      </c>
      <c r="O15" s="381"/>
      <c r="P15" s="381">
        <v>2</v>
      </c>
      <c r="Q15" s="382">
        <v>10</v>
      </c>
      <c r="R15" s="381">
        <v>204</v>
      </c>
    </row>
    <row r="16" spans="1:18" x14ac:dyDescent="0.55000000000000004">
      <c r="A16" s="358" t="s">
        <v>105</v>
      </c>
      <c r="B16" s="381">
        <v>13</v>
      </c>
      <c r="C16" s="381">
        <v>4</v>
      </c>
      <c r="D16" s="381"/>
      <c r="E16" s="381"/>
      <c r="F16" s="381"/>
      <c r="G16" s="381"/>
      <c r="H16" s="381"/>
      <c r="I16" s="382">
        <v>17</v>
      </c>
      <c r="J16" s="381"/>
      <c r="K16" s="381"/>
      <c r="L16" s="381"/>
      <c r="M16" s="381"/>
      <c r="N16" s="381"/>
      <c r="O16" s="381"/>
      <c r="P16" s="381"/>
      <c r="Q16" s="382"/>
      <c r="R16" s="381">
        <v>17</v>
      </c>
    </row>
    <row r="17" spans="1:22" x14ac:dyDescent="0.55000000000000004">
      <c r="A17" s="358" t="s">
        <v>106</v>
      </c>
      <c r="B17" s="381">
        <v>4</v>
      </c>
      <c r="C17" s="381">
        <v>24</v>
      </c>
      <c r="D17" s="381">
        <v>13</v>
      </c>
      <c r="E17" s="381"/>
      <c r="F17" s="381"/>
      <c r="G17" s="381"/>
      <c r="H17" s="381"/>
      <c r="I17" s="382">
        <v>41</v>
      </c>
      <c r="J17" s="381"/>
      <c r="K17" s="381"/>
      <c r="L17" s="381"/>
      <c r="M17" s="381"/>
      <c r="N17" s="381"/>
      <c r="O17" s="381"/>
      <c r="P17" s="381"/>
      <c r="Q17" s="382"/>
      <c r="R17" s="381">
        <v>41</v>
      </c>
    </row>
    <row r="18" spans="1:22" x14ac:dyDescent="0.55000000000000004">
      <c r="A18" s="358" t="s">
        <v>107</v>
      </c>
      <c r="B18" s="381">
        <v>7</v>
      </c>
      <c r="C18" s="381">
        <v>3</v>
      </c>
      <c r="D18" s="381">
        <v>12</v>
      </c>
      <c r="E18" s="381"/>
      <c r="F18" s="381"/>
      <c r="G18" s="381">
        <v>2</v>
      </c>
      <c r="H18" s="381"/>
      <c r="I18" s="382">
        <v>24</v>
      </c>
      <c r="J18" s="381"/>
      <c r="K18" s="381"/>
      <c r="L18" s="381"/>
      <c r="M18" s="381">
        <v>1</v>
      </c>
      <c r="N18" s="381"/>
      <c r="O18" s="381">
        <v>1</v>
      </c>
      <c r="P18" s="381"/>
      <c r="Q18" s="382">
        <v>2</v>
      </c>
      <c r="R18" s="381">
        <v>26</v>
      </c>
    </row>
    <row r="19" spans="1:22" x14ac:dyDescent="0.55000000000000004">
      <c r="A19" s="358" t="s">
        <v>108</v>
      </c>
      <c r="B19" s="381">
        <v>2</v>
      </c>
      <c r="C19" s="381">
        <v>3</v>
      </c>
      <c r="D19" s="381"/>
      <c r="E19" s="381"/>
      <c r="F19" s="381"/>
      <c r="G19" s="381"/>
      <c r="H19" s="381"/>
      <c r="I19" s="382">
        <v>5</v>
      </c>
      <c r="J19" s="381"/>
      <c r="K19" s="381"/>
      <c r="L19" s="381"/>
      <c r="M19" s="381"/>
      <c r="N19" s="381"/>
      <c r="O19" s="381"/>
      <c r="P19" s="381"/>
      <c r="Q19" s="382"/>
      <c r="R19" s="381">
        <v>5</v>
      </c>
    </row>
    <row r="20" spans="1:22" x14ac:dyDescent="0.55000000000000004">
      <c r="A20" s="361" t="s">
        <v>109</v>
      </c>
      <c r="B20" s="383">
        <v>184</v>
      </c>
      <c r="C20" s="383">
        <v>192</v>
      </c>
      <c r="D20" s="383">
        <v>174</v>
      </c>
      <c r="E20" s="383">
        <v>84</v>
      </c>
      <c r="F20" s="383">
        <v>30</v>
      </c>
      <c r="G20" s="383">
        <v>27</v>
      </c>
      <c r="H20" s="383">
        <v>1</v>
      </c>
      <c r="I20" s="383">
        <v>692</v>
      </c>
      <c r="J20" s="383">
        <v>3</v>
      </c>
      <c r="K20" s="383">
        <v>7</v>
      </c>
      <c r="L20" s="383">
        <v>7</v>
      </c>
      <c r="M20" s="383">
        <v>8</v>
      </c>
      <c r="N20" s="383">
        <v>3</v>
      </c>
      <c r="O20" s="383">
        <v>1</v>
      </c>
      <c r="P20" s="383">
        <v>4</v>
      </c>
      <c r="Q20" s="383">
        <v>33</v>
      </c>
      <c r="R20" s="383">
        <v>725</v>
      </c>
    </row>
    <row r="22" spans="1:22" x14ac:dyDescent="0.55000000000000004">
      <c r="A22" s="99" t="s">
        <v>110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349"/>
      <c r="M22" s="349"/>
      <c r="N22" s="349"/>
      <c r="O22" s="349"/>
      <c r="P22" s="349"/>
      <c r="Q22" s="349"/>
      <c r="R22" s="349"/>
      <c r="S22" s="350"/>
      <c r="T22" s="350"/>
      <c r="U22" s="350"/>
      <c r="V22" s="350"/>
    </row>
    <row r="23" spans="1:22" s="101" customFormat="1" ht="24.6" customHeight="1" x14ac:dyDescent="0.5">
      <c r="A23" s="384" t="s">
        <v>73</v>
      </c>
      <c r="B23" s="298" t="s">
        <v>74</v>
      </c>
      <c r="C23" s="299"/>
      <c r="D23" s="299"/>
      <c r="E23" s="299"/>
      <c r="F23" s="299"/>
      <c r="G23" s="299"/>
      <c r="H23" s="300"/>
      <c r="I23" s="304" t="s">
        <v>77</v>
      </c>
      <c r="J23" s="305"/>
      <c r="K23" s="352" t="s">
        <v>76</v>
      </c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</row>
    <row r="24" spans="1:22" x14ac:dyDescent="0.55000000000000004">
      <c r="A24" s="384"/>
      <c r="B24" s="301"/>
      <c r="C24" s="302"/>
      <c r="D24" s="302"/>
      <c r="E24" s="302"/>
      <c r="F24" s="302"/>
      <c r="G24" s="302"/>
      <c r="H24" s="303"/>
      <c r="I24" s="306"/>
      <c r="J24" s="307"/>
      <c r="K24" s="353"/>
      <c r="L24"/>
      <c r="M24"/>
      <c r="N24"/>
      <c r="O24"/>
      <c r="P24"/>
      <c r="Q24"/>
      <c r="R24"/>
    </row>
    <row r="25" spans="1:22" x14ac:dyDescent="0.55000000000000004">
      <c r="A25" s="384"/>
      <c r="B25" s="109" t="s">
        <v>78</v>
      </c>
      <c r="C25" s="109" t="s">
        <v>79</v>
      </c>
      <c r="D25" s="109" t="s">
        <v>80</v>
      </c>
      <c r="E25" s="109" t="s">
        <v>81</v>
      </c>
      <c r="F25" s="109" t="s">
        <v>82</v>
      </c>
      <c r="G25" s="109" t="s">
        <v>83</v>
      </c>
      <c r="H25" s="102" t="s">
        <v>85</v>
      </c>
      <c r="I25" s="109" t="s">
        <v>80</v>
      </c>
      <c r="J25" s="102" t="s">
        <v>85</v>
      </c>
      <c r="K25" s="354"/>
      <c r="L25"/>
      <c r="M25"/>
      <c r="N25"/>
      <c r="O25"/>
      <c r="P25"/>
      <c r="Q25"/>
      <c r="R25"/>
    </row>
    <row r="26" spans="1:22" x14ac:dyDescent="0.55000000000000004">
      <c r="A26" s="103" t="s">
        <v>91</v>
      </c>
      <c r="B26" s="104">
        <v>1</v>
      </c>
      <c r="C26" s="104"/>
      <c r="D26" s="104"/>
      <c r="E26" s="104"/>
      <c r="F26" s="104"/>
      <c r="G26" s="104"/>
      <c r="H26" s="105">
        <v>1</v>
      </c>
      <c r="I26" s="104"/>
      <c r="J26" s="105"/>
      <c r="K26" s="104">
        <v>1</v>
      </c>
    </row>
    <row r="27" spans="1:22" x14ac:dyDescent="0.55000000000000004">
      <c r="A27" s="103" t="s">
        <v>101</v>
      </c>
      <c r="B27" s="104"/>
      <c r="C27" s="104"/>
      <c r="D27" s="104">
        <v>2</v>
      </c>
      <c r="E27" s="104">
        <v>1</v>
      </c>
      <c r="F27" s="104">
        <v>1</v>
      </c>
      <c r="G27" s="104"/>
      <c r="H27" s="105">
        <v>4</v>
      </c>
      <c r="I27" s="104">
        <v>1</v>
      </c>
      <c r="J27" s="105">
        <v>1</v>
      </c>
      <c r="K27" s="104">
        <v>5</v>
      </c>
    </row>
    <row r="28" spans="1:22" x14ac:dyDescent="0.55000000000000004">
      <c r="A28" s="103" t="s">
        <v>107</v>
      </c>
      <c r="B28" s="104"/>
      <c r="C28" s="104">
        <v>4</v>
      </c>
      <c r="D28" s="104">
        <v>3</v>
      </c>
      <c r="E28" s="104"/>
      <c r="F28" s="104"/>
      <c r="G28" s="104">
        <v>1</v>
      </c>
      <c r="H28" s="105">
        <v>8</v>
      </c>
      <c r="I28" s="104"/>
      <c r="J28" s="105"/>
      <c r="K28" s="104">
        <v>8</v>
      </c>
    </row>
    <row r="29" spans="1:22" x14ac:dyDescent="0.55000000000000004">
      <c r="A29" s="107" t="s">
        <v>109</v>
      </c>
      <c r="B29" s="108">
        <v>1</v>
      </c>
      <c r="C29" s="108">
        <v>4</v>
      </c>
      <c r="D29" s="108">
        <v>5</v>
      </c>
      <c r="E29" s="108">
        <v>1</v>
      </c>
      <c r="F29" s="108">
        <v>1</v>
      </c>
      <c r="G29" s="108">
        <v>1</v>
      </c>
      <c r="H29" s="108">
        <v>13</v>
      </c>
      <c r="I29" s="108">
        <v>1</v>
      </c>
      <c r="J29" s="108">
        <v>1</v>
      </c>
      <c r="K29" s="108">
        <v>14</v>
      </c>
    </row>
  </sheetData>
  <mergeCells count="10">
    <mergeCell ref="A23:A25"/>
    <mergeCell ref="B23:H24"/>
    <mergeCell ref="I23:J24"/>
    <mergeCell ref="K23:K25"/>
    <mergeCell ref="A2:A4"/>
    <mergeCell ref="B2:I3"/>
    <mergeCell ref="J2:Q2"/>
    <mergeCell ref="R2:R4"/>
    <mergeCell ref="J3:Q3"/>
    <mergeCell ref="A1:R1"/>
  </mergeCells>
  <pageMargins left="0.70866141732283472" right="0.70866141732283472" top="0.55118110236220474" bottom="0.19685039370078741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D56"/>
  <sheetViews>
    <sheetView view="pageBreakPreview" zoomScale="60" zoomScaleNormal="100" workbookViewId="0">
      <selection activeCell="V120" sqref="V120"/>
    </sheetView>
  </sheetViews>
  <sheetFormatPr defaultRowHeight="24" x14ac:dyDescent="0.55000000000000004"/>
  <cols>
    <col min="1" max="1" width="36.25" customWidth="1"/>
    <col min="2" max="6" width="5.875" style="100" bestFit="1" customWidth="1"/>
    <col min="7" max="7" width="5.375" style="100" bestFit="1" customWidth="1"/>
    <col min="8" max="19" width="5.875" style="100" bestFit="1" customWidth="1"/>
    <col min="20" max="20" width="8.625" style="100" bestFit="1" customWidth="1"/>
    <col min="21" max="21" width="3.875" style="100" bestFit="1" customWidth="1"/>
    <col min="22" max="22" width="9.125" style="100" bestFit="1" customWidth="1"/>
    <col min="23" max="23" width="5.875" style="100" bestFit="1" customWidth="1"/>
    <col min="24" max="24" width="9.125" style="100" bestFit="1" customWidth="1"/>
    <col min="25" max="25" width="5.875" style="100" bestFit="1" customWidth="1"/>
    <col min="26" max="26" width="3.875" style="100" bestFit="1" customWidth="1"/>
    <col min="27" max="27" width="9.125" style="100" bestFit="1" customWidth="1"/>
    <col min="28" max="30" width="9" style="100"/>
  </cols>
  <sheetData>
    <row r="1" spans="1:30" x14ac:dyDescent="0.55000000000000004">
      <c r="A1" s="297" t="s">
        <v>122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</row>
    <row r="2" spans="1:30" s="101" customFormat="1" ht="31.5" customHeight="1" x14ac:dyDescent="0.55000000000000004">
      <c r="A2" s="384" t="s">
        <v>73</v>
      </c>
      <c r="B2" s="311" t="s">
        <v>74</v>
      </c>
      <c r="C2" s="311"/>
      <c r="D2" s="311"/>
      <c r="E2" s="311"/>
      <c r="F2" s="311"/>
      <c r="G2" s="311"/>
      <c r="H2" s="315" t="s">
        <v>75</v>
      </c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7"/>
      <c r="V2" s="311" t="s">
        <v>76</v>
      </c>
      <c r="W2" s="110"/>
      <c r="X2" s="110"/>
      <c r="Y2" s="110"/>
    </row>
    <row r="3" spans="1:30" x14ac:dyDescent="0.55000000000000004">
      <c r="A3" s="384"/>
      <c r="B3" s="311"/>
      <c r="C3" s="311"/>
      <c r="D3" s="311"/>
      <c r="E3" s="311"/>
      <c r="F3" s="311"/>
      <c r="G3" s="311"/>
      <c r="H3" s="312" t="s">
        <v>111</v>
      </c>
      <c r="I3" s="313"/>
      <c r="J3" s="313"/>
      <c r="K3" s="313"/>
      <c r="L3" s="314"/>
      <c r="M3" s="312" t="s">
        <v>77</v>
      </c>
      <c r="N3" s="313"/>
      <c r="O3" s="313"/>
      <c r="P3" s="313"/>
      <c r="Q3" s="314"/>
      <c r="R3" s="312" t="s">
        <v>112</v>
      </c>
      <c r="S3" s="314"/>
      <c r="T3" s="109" t="s">
        <v>114</v>
      </c>
      <c r="U3" s="109"/>
      <c r="V3" s="311"/>
      <c r="Z3"/>
      <c r="AA3"/>
      <c r="AB3"/>
      <c r="AC3"/>
      <c r="AD3"/>
    </row>
    <row r="4" spans="1:30" x14ac:dyDescent="0.55000000000000004">
      <c r="A4" s="385"/>
      <c r="B4" s="109" t="s">
        <v>78</v>
      </c>
      <c r="C4" s="109">
        <v>3.9123630672926448E-4</v>
      </c>
      <c r="D4" s="109" t="s">
        <v>80</v>
      </c>
      <c r="E4" s="109" t="s">
        <v>81</v>
      </c>
      <c r="F4" s="109" t="s">
        <v>83</v>
      </c>
      <c r="G4" s="102" t="s">
        <v>85</v>
      </c>
      <c r="H4" s="109" t="s">
        <v>78</v>
      </c>
      <c r="I4" s="109" t="s">
        <v>79</v>
      </c>
      <c r="J4" s="109" t="s">
        <v>80</v>
      </c>
      <c r="K4" s="109" t="s">
        <v>81</v>
      </c>
      <c r="L4" s="102" t="s">
        <v>85</v>
      </c>
      <c r="M4" s="109" t="s">
        <v>79</v>
      </c>
      <c r="N4" s="109" t="s">
        <v>80</v>
      </c>
      <c r="O4" s="109" t="s">
        <v>81</v>
      </c>
      <c r="P4" s="109" t="s">
        <v>82</v>
      </c>
      <c r="Q4" s="102" t="s">
        <v>85</v>
      </c>
      <c r="R4" s="109" t="s">
        <v>78</v>
      </c>
      <c r="S4" s="102" t="s">
        <v>85</v>
      </c>
      <c r="T4" s="109">
        <f>-U48</f>
        <v>-4</v>
      </c>
      <c r="U4" s="102" t="s">
        <v>85</v>
      </c>
      <c r="V4" s="311"/>
      <c r="Z4"/>
      <c r="AA4"/>
      <c r="AB4"/>
      <c r="AC4"/>
      <c r="AD4"/>
    </row>
    <row r="5" spans="1:30" x14ac:dyDescent="0.55000000000000004">
      <c r="A5" s="355" t="s">
        <v>87</v>
      </c>
      <c r="B5" s="356"/>
      <c r="C5" s="356"/>
      <c r="D5" s="356"/>
      <c r="E5" s="356"/>
      <c r="F5" s="356"/>
      <c r="G5" s="357"/>
      <c r="H5" s="356"/>
      <c r="I5" s="356"/>
      <c r="J5" s="356"/>
      <c r="K5" s="356"/>
      <c r="L5" s="357"/>
      <c r="M5" s="356"/>
      <c r="N5" s="356"/>
      <c r="O5" s="356"/>
      <c r="P5" s="356"/>
      <c r="Q5" s="357"/>
      <c r="R5" s="356"/>
      <c r="S5" s="357"/>
      <c r="T5" s="356">
        <v>1</v>
      </c>
      <c r="U5" s="357">
        <v>1</v>
      </c>
      <c r="V5" s="356">
        <v>1</v>
      </c>
    </row>
    <row r="6" spans="1:30" x14ac:dyDescent="0.55000000000000004">
      <c r="A6" s="358" t="s">
        <v>90</v>
      </c>
      <c r="B6" s="359">
        <v>21</v>
      </c>
      <c r="C6" s="359">
        <v>80</v>
      </c>
      <c r="D6" s="359"/>
      <c r="E6" s="359">
        <v>1</v>
      </c>
      <c r="F6" s="359"/>
      <c r="G6" s="360">
        <v>102</v>
      </c>
      <c r="H6" s="359">
        <v>4</v>
      </c>
      <c r="I6" s="359">
        <v>2</v>
      </c>
      <c r="J6" s="359">
        <v>1</v>
      </c>
      <c r="K6" s="359"/>
      <c r="L6" s="360">
        <v>7</v>
      </c>
      <c r="M6" s="359">
        <v>2</v>
      </c>
      <c r="N6" s="359">
        <v>4</v>
      </c>
      <c r="O6" s="359"/>
      <c r="P6" s="359"/>
      <c r="Q6" s="360">
        <v>6</v>
      </c>
      <c r="R6" s="359">
        <v>2</v>
      </c>
      <c r="S6" s="360">
        <v>2</v>
      </c>
      <c r="T6" s="359"/>
      <c r="U6" s="360"/>
      <c r="V6" s="359">
        <v>117</v>
      </c>
    </row>
    <row r="7" spans="1:30" x14ac:dyDescent="0.55000000000000004">
      <c r="A7" s="358" t="s">
        <v>91</v>
      </c>
      <c r="B7" s="359">
        <v>9</v>
      </c>
      <c r="C7" s="359">
        <v>10</v>
      </c>
      <c r="D7" s="359">
        <v>2</v>
      </c>
      <c r="E7" s="359">
        <v>1</v>
      </c>
      <c r="F7" s="359">
        <v>2</v>
      </c>
      <c r="G7" s="360">
        <v>24</v>
      </c>
      <c r="H7" s="359">
        <v>1</v>
      </c>
      <c r="I7" s="359"/>
      <c r="J7" s="359"/>
      <c r="K7" s="359"/>
      <c r="L7" s="360">
        <v>1</v>
      </c>
      <c r="M7" s="359"/>
      <c r="N7" s="359">
        <v>1</v>
      </c>
      <c r="O7" s="359">
        <v>1</v>
      </c>
      <c r="P7" s="359"/>
      <c r="Q7" s="360">
        <v>2</v>
      </c>
      <c r="R7" s="359"/>
      <c r="S7" s="360"/>
      <c r="T7" s="359"/>
      <c r="U7" s="360"/>
      <c r="V7" s="359">
        <v>27</v>
      </c>
    </row>
    <row r="8" spans="1:30" x14ac:dyDescent="0.55000000000000004">
      <c r="A8" s="358" t="s">
        <v>115</v>
      </c>
      <c r="B8" s="359">
        <v>13</v>
      </c>
      <c r="C8" s="359">
        <v>1</v>
      </c>
      <c r="D8" s="359"/>
      <c r="E8" s="359"/>
      <c r="F8" s="359"/>
      <c r="G8" s="360">
        <v>14</v>
      </c>
      <c r="H8" s="359"/>
      <c r="I8" s="359"/>
      <c r="J8" s="359"/>
      <c r="K8" s="359"/>
      <c r="L8" s="360"/>
      <c r="M8" s="359"/>
      <c r="N8" s="359"/>
      <c r="O8" s="359"/>
      <c r="P8" s="359"/>
      <c r="Q8" s="360"/>
      <c r="R8" s="359"/>
      <c r="S8" s="360"/>
      <c r="T8" s="359"/>
      <c r="U8" s="360"/>
      <c r="V8" s="359">
        <v>14</v>
      </c>
    </row>
    <row r="9" spans="1:30" x14ac:dyDescent="0.55000000000000004">
      <c r="A9" s="358" t="s">
        <v>92</v>
      </c>
      <c r="B9" s="359">
        <v>3</v>
      </c>
      <c r="C9" s="359">
        <v>4</v>
      </c>
      <c r="D9" s="359"/>
      <c r="E9" s="359"/>
      <c r="F9" s="359"/>
      <c r="G9" s="360">
        <v>7</v>
      </c>
      <c r="H9" s="359"/>
      <c r="I9" s="359"/>
      <c r="J9" s="359"/>
      <c r="K9" s="359"/>
      <c r="L9" s="360"/>
      <c r="M9" s="359"/>
      <c r="N9" s="359"/>
      <c r="O9" s="359"/>
      <c r="P9" s="359"/>
      <c r="Q9" s="360"/>
      <c r="R9" s="359"/>
      <c r="S9" s="360"/>
      <c r="T9" s="359"/>
      <c r="U9" s="360"/>
      <c r="V9" s="359">
        <v>7</v>
      </c>
    </row>
    <row r="10" spans="1:30" x14ac:dyDescent="0.55000000000000004">
      <c r="A10" s="358" t="s">
        <v>116</v>
      </c>
      <c r="B10" s="359"/>
      <c r="C10" s="359">
        <v>1</v>
      </c>
      <c r="D10" s="359"/>
      <c r="E10" s="359"/>
      <c r="F10" s="359"/>
      <c r="G10" s="360">
        <v>1</v>
      </c>
      <c r="H10" s="359"/>
      <c r="I10" s="359"/>
      <c r="J10" s="359"/>
      <c r="K10" s="359"/>
      <c r="L10" s="360"/>
      <c r="M10" s="359"/>
      <c r="N10" s="359"/>
      <c r="O10" s="359"/>
      <c r="P10" s="359"/>
      <c r="Q10" s="360"/>
      <c r="R10" s="359"/>
      <c r="S10" s="360"/>
      <c r="T10" s="359"/>
      <c r="U10" s="360"/>
      <c r="V10" s="359">
        <v>1</v>
      </c>
    </row>
    <row r="11" spans="1:30" x14ac:dyDescent="0.55000000000000004">
      <c r="A11" s="358" t="s">
        <v>93</v>
      </c>
      <c r="B11" s="359"/>
      <c r="C11" s="359"/>
      <c r="D11" s="359"/>
      <c r="E11" s="359">
        <v>2</v>
      </c>
      <c r="F11" s="359"/>
      <c r="G11" s="360">
        <v>2</v>
      </c>
      <c r="H11" s="359"/>
      <c r="I11" s="359"/>
      <c r="J11" s="359"/>
      <c r="K11" s="359"/>
      <c r="L11" s="360"/>
      <c r="M11" s="359"/>
      <c r="N11" s="359"/>
      <c r="O11" s="359">
        <v>3</v>
      </c>
      <c r="P11" s="359"/>
      <c r="Q11" s="360">
        <v>3</v>
      </c>
      <c r="R11" s="359"/>
      <c r="S11" s="360"/>
      <c r="T11" s="359">
        <v>1</v>
      </c>
      <c r="U11" s="360">
        <v>1</v>
      </c>
      <c r="V11" s="359">
        <v>6</v>
      </c>
    </row>
    <row r="12" spans="1:30" x14ac:dyDescent="0.55000000000000004">
      <c r="A12" s="358" t="s">
        <v>94</v>
      </c>
      <c r="B12" s="359">
        <v>4</v>
      </c>
      <c r="C12" s="359">
        <v>4</v>
      </c>
      <c r="D12" s="359"/>
      <c r="E12" s="359">
        <v>1</v>
      </c>
      <c r="F12" s="359"/>
      <c r="G12" s="360">
        <v>9</v>
      </c>
      <c r="H12" s="359"/>
      <c r="I12" s="359"/>
      <c r="J12" s="359"/>
      <c r="K12" s="359"/>
      <c r="L12" s="360"/>
      <c r="M12" s="359">
        <v>1</v>
      </c>
      <c r="N12" s="359">
        <v>1</v>
      </c>
      <c r="O12" s="359">
        <v>1</v>
      </c>
      <c r="P12" s="359"/>
      <c r="Q12" s="360">
        <v>3</v>
      </c>
      <c r="R12" s="359"/>
      <c r="S12" s="360"/>
      <c r="T12" s="359"/>
      <c r="U12" s="360"/>
      <c r="V12" s="359">
        <v>12</v>
      </c>
    </row>
    <row r="13" spans="1:30" x14ac:dyDescent="0.55000000000000004">
      <c r="A13" s="358" t="s">
        <v>96</v>
      </c>
      <c r="B13" s="359">
        <v>11</v>
      </c>
      <c r="C13" s="359">
        <v>5</v>
      </c>
      <c r="D13" s="359"/>
      <c r="E13" s="359"/>
      <c r="F13" s="359">
        <v>1</v>
      </c>
      <c r="G13" s="360">
        <v>17</v>
      </c>
      <c r="H13" s="359"/>
      <c r="I13" s="359"/>
      <c r="J13" s="359"/>
      <c r="K13" s="359"/>
      <c r="L13" s="360"/>
      <c r="M13" s="359"/>
      <c r="N13" s="359">
        <v>3</v>
      </c>
      <c r="O13" s="359">
        <v>4</v>
      </c>
      <c r="P13" s="359">
        <v>1</v>
      </c>
      <c r="Q13" s="360">
        <v>8</v>
      </c>
      <c r="R13" s="359"/>
      <c r="S13" s="360"/>
      <c r="T13" s="359"/>
      <c r="U13" s="360"/>
      <c r="V13" s="359">
        <v>25</v>
      </c>
    </row>
    <row r="14" spans="1:30" x14ac:dyDescent="0.55000000000000004">
      <c r="A14" s="358" t="s">
        <v>97</v>
      </c>
      <c r="B14" s="359">
        <v>28</v>
      </c>
      <c r="C14" s="359">
        <v>28</v>
      </c>
      <c r="D14" s="359">
        <v>15</v>
      </c>
      <c r="E14" s="359">
        <v>3</v>
      </c>
      <c r="F14" s="359">
        <v>1</v>
      </c>
      <c r="G14" s="360">
        <v>75</v>
      </c>
      <c r="H14" s="359"/>
      <c r="I14" s="359"/>
      <c r="J14" s="359"/>
      <c r="K14" s="359"/>
      <c r="L14" s="360"/>
      <c r="M14" s="359"/>
      <c r="N14" s="359"/>
      <c r="O14" s="359"/>
      <c r="P14" s="359"/>
      <c r="Q14" s="360"/>
      <c r="R14" s="359"/>
      <c r="S14" s="360"/>
      <c r="T14" s="359"/>
      <c r="U14" s="360"/>
      <c r="V14" s="359">
        <v>75</v>
      </c>
    </row>
    <row r="15" spans="1:30" x14ac:dyDescent="0.55000000000000004">
      <c r="A15" s="358" t="s">
        <v>101</v>
      </c>
      <c r="B15" s="359">
        <v>24</v>
      </c>
      <c r="C15" s="359">
        <v>17</v>
      </c>
      <c r="D15" s="359">
        <v>7</v>
      </c>
      <c r="E15" s="359">
        <v>5</v>
      </c>
      <c r="F15" s="359"/>
      <c r="G15" s="360">
        <v>53</v>
      </c>
      <c r="H15" s="359">
        <v>1</v>
      </c>
      <c r="I15" s="359"/>
      <c r="J15" s="359"/>
      <c r="K15" s="359">
        <v>1</v>
      </c>
      <c r="L15" s="360">
        <v>2</v>
      </c>
      <c r="M15" s="359">
        <v>1</v>
      </c>
      <c r="N15" s="359">
        <v>2</v>
      </c>
      <c r="O15" s="359">
        <v>2</v>
      </c>
      <c r="P15" s="359"/>
      <c r="Q15" s="360">
        <v>5</v>
      </c>
      <c r="R15" s="359"/>
      <c r="S15" s="360"/>
      <c r="T15" s="359"/>
      <c r="U15" s="360"/>
      <c r="V15" s="359">
        <v>60</v>
      </c>
    </row>
    <row r="16" spans="1:30" x14ac:dyDescent="0.55000000000000004">
      <c r="A16" s="358" t="s">
        <v>102</v>
      </c>
      <c r="B16" s="359">
        <v>20</v>
      </c>
      <c r="C16" s="359">
        <v>46</v>
      </c>
      <c r="D16" s="359">
        <v>11</v>
      </c>
      <c r="E16" s="359"/>
      <c r="F16" s="359"/>
      <c r="G16" s="360">
        <v>77</v>
      </c>
      <c r="H16" s="359"/>
      <c r="I16" s="359"/>
      <c r="J16" s="359"/>
      <c r="K16" s="359"/>
      <c r="L16" s="360"/>
      <c r="M16" s="359">
        <v>3</v>
      </c>
      <c r="N16" s="359"/>
      <c r="O16" s="359"/>
      <c r="P16" s="359"/>
      <c r="Q16" s="360">
        <v>3</v>
      </c>
      <c r="R16" s="359"/>
      <c r="S16" s="360"/>
      <c r="T16" s="359"/>
      <c r="U16" s="360"/>
      <c r="V16" s="359">
        <v>80</v>
      </c>
    </row>
    <row r="17" spans="1:30" x14ac:dyDescent="0.55000000000000004">
      <c r="A17" s="358" t="s">
        <v>103</v>
      </c>
      <c r="B17" s="359">
        <v>27</v>
      </c>
      <c r="C17" s="359">
        <v>11</v>
      </c>
      <c r="D17" s="359">
        <v>3</v>
      </c>
      <c r="E17" s="359">
        <v>4</v>
      </c>
      <c r="F17" s="359"/>
      <c r="G17" s="360">
        <v>45</v>
      </c>
      <c r="H17" s="359">
        <v>1</v>
      </c>
      <c r="I17" s="359"/>
      <c r="J17" s="359"/>
      <c r="K17" s="359"/>
      <c r="L17" s="360">
        <v>1</v>
      </c>
      <c r="M17" s="359"/>
      <c r="N17" s="359">
        <v>5</v>
      </c>
      <c r="O17" s="359">
        <v>1</v>
      </c>
      <c r="P17" s="359"/>
      <c r="Q17" s="360">
        <v>6</v>
      </c>
      <c r="R17" s="359"/>
      <c r="S17" s="360"/>
      <c r="T17" s="359"/>
      <c r="U17" s="360"/>
      <c r="V17" s="359">
        <v>52</v>
      </c>
    </row>
    <row r="18" spans="1:30" x14ac:dyDescent="0.55000000000000004">
      <c r="A18" s="358" t="s">
        <v>105</v>
      </c>
      <c r="B18" s="359"/>
      <c r="C18" s="359">
        <v>2</v>
      </c>
      <c r="D18" s="359"/>
      <c r="E18" s="359"/>
      <c r="F18" s="359"/>
      <c r="G18" s="360">
        <v>2</v>
      </c>
      <c r="H18" s="359"/>
      <c r="I18" s="359"/>
      <c r="J18" s="359"/>
      <c r="K18" s="359"/>
      <c r="L18" s="360"/>
      <c r="M18" s="359"/>
      <c r="N18" s="359"/>
      <c r="O18" s="359"/>
      <c r="P18" s="359"/>
      <c r="Q18" s="360"/>
      <c r="R18" s="359"/>
      <c r="S18" s="360"/>
      <c r="T18" s="359"/>
      <c r="U18" s="360"/>
      <c r="V18" s="359">
        <v>2</v>
      </c>
    </row>
    <row r="19" spans="1:30" x14ac:dyDescent="0.55000000000000004">
      <c r="A19" s="358" t="s">
        <v>106</v>
      </c>
      <c r="B19" s="359">
        <v>12</v>
      </c>
      <c r="C19" s="359">
        <v>4</v>
      </c>
      <c r="D19" s="359">
        <v>12</v>
      </c>
      <c r="E19" s="359">
        <v>1</v>
      </c>
      <c r="F19" s="359"/>
      <c r="G19" s="360">
        <v>29</v>
      </c>
      <c r="H19" s="359"/>
      <c r="I19" s="359"/>
      <c r="J19" s="359"/>
      <c r="K19" s="359"/>
      <c r="L19" s="360"/>
      <c r="M19" s="359">
        <v>1</v>
      </c>
      <c r="N19" s="359"/>
      <c r="O19" s="359"/>
      <c r="P19" s="359"/>
      <c r="Q19" s="360">
        <v>1</v>
      </c>
      <c r="R19" s="359">
        <v>1</v>
      </c>
      <c r="S19" s="360">
        <v>1</v>
      </c>
      <c r="T19" s="359"/>
      <c r="U19" s="360"/>
      <c r="V19" s="359">
        <v>31</v>
      </c>
    </row>
    <row r="20" spans="1:30" x14ac:dyDescent="0.55000000000000004">
      <c r="A20" s="358" t="s">
        <v>107</v>
      </c>
      <c r="B20" s="359">
        <v>9</v>
      </c>
      <c r="C20" s="359">
        <v>6</v>
      </c>
      <c r="D20" s="359">
        <v>4</v>
      </c>
      <c r="E20" s="359">
        <v>1</v>
      </c>
      <c r="F20" s="359"/>
      <c r="G20" s="360">
        <v>20</v>
      </c>
      <c r="H20" s="359">
        <v>2</v>
      </c>
      <c r="I20" s="359"/>
      <c r="J20" s="359"/>
      <c r="K20" s="359"/>
      <c r="L20" s="360">
        <v>2</v>
      </c>
      <c r="M20" s="359">
        <v>2</v>
      </c>
      <c r="N20" s="359">
        <v>1</v>
      </c>
      <c r="O20" s="359"/>
      <c r="P20" s="359"/>
      <c r="Q20" s="360">
        <v>3</v>
      </c>
      <c r="R20" s="359"/>
      <c r="S20" s="360"/>
      <c r="T20" s="359"/>
      <c r="U20" s="360"/>
      <c r="V20" s="359">
        <v>25</v>
      </c>
    </row>
    <row r="21" spans="1:30" x14ac:dyDescent="0.55000000000000004">
      <c r="A21" s="358" t="s">
        <v>108</v>
      </c>
      <c r="B21" s="359">
        <v>2</v>
      </c>
      <c r="C21" s="359">
        <v>1</v>
      </c>
      <c r="D21" s="359">
        <v>2</v>
      </c>
      <c r="E21" s="359"/>
      <c r="F21" s="359"/>
      <c r="G21" s="360">
        <v>5</v>
      </c>
      <c r="H21" s="359"/>
      <c r="I21" s="359"/>
      <c r="J21" s="359"/>
      <c r="K21" s="359"/>
      <c r="L21" s="360"/>
      <c r="M21" s="359"/>
      <c r="N21" s="359"/>
      <c r="O21" s="359"/>
      <c r="P21" s="359"/>
      <c r="Q21" s="360"/>
      <c r="R21" s="359"/>
      <c r="S21" s="360"/>
      <c r="T21" s="359"/>
      <c r="U21" s="360"/>
      <c r="V21" s="359">
        <v>5</v>
      </c>
    </row>
    <row r="22" spans="1:30" x14ac:dyDescent="0.55000000000000004">
      <c r="A22" s="358" t="s">
        <v>121</v>
      </c>
      <c r="B22" s="359"/>
      <c r="C22" s="359"/>
      <c r="D22" s="359"/>
      <c r="E22" s="359"/>
      <c r="F22" s="359"/>
      <c r="G22" s="360"/>
      <c r="H22" s="359"/>
      <c r="I22" s="359"/>
      <c r="J22" s="359"/>
      <c r="K22" s="359"/>
      <c r="L22" s="360"/>
      <c r="M22" s="359"/>
      <c r="N22" s="359"/>
      <c r="O22" s="359"/>
      <c r="P22" s="359"/>
      <c r="Q22" s="360"/>
      <c r="R22" s="359"/>
      <c r="S22" s="360"/>
      <c r="T22" s="359">
        <v>1</v>
      </c>
      <c r="U22" s="360">
        <v>1</v>
      </c>
      <c r="V22" s="359">
        <v>1</v>
      </c>
    </row>
    <row r="23" spans="1:30" x14ac:dyDescent="0.55000000000000004">
      <c r="A23" s="361" t="s">
        <v>109</v>
      </c>
      <c r="B23" s="362">
        <v>183</v>
      </c>
      <c r="C23" s="362">
        <v>220</v>
      </c>
      <c r="D23" s="362">
        <v>56</v>
      </c>
      <c r="E23" s="362">
        <v>19</v>
      </c>
      <c r="F23" s="362">
        <v>4</v>
      </c>
      <c r="G23" s="362">
        <v>482</v>
      </c>
      <c r="H23" s="362">
        <v>9</v>
      </c>
      <c r="I23" s="362">
        <v>2</v>
      </c>
      <c r="J23" s="362">
        <v>1</v>
      </c>
      <c r="K23" s="362">
        <v>1</v>
      </c>
      <c r="L23" s="362">
        <v>13</v>
      </c>
      <c r="M23" s="362">
        <v>10</v>
      </c>
      <c r="N23" s="362">
        <v>17</v>
      </c>
      <c r="O23" s="362">
        <v>12</v>
      </c>
      <c r="P23" s="362">
        <v>1</v>
      </c>
      <c r="Q23" s="362">
        <v>40</v>
      </c>
      <c r="R23" s="362">
        <v>3</v>
      </c>
      <c r="S23" s="362">
        <v>3</v>
      </c>
      <c r="T23" s="362">
        <v>3</v>
      </c>
      <c r="U23" s="362">
        <v>3</v>
      </c>
      <c r="V23" s="362">
        <v>541</v>
      </c>
    </row>
    <row r="26" spans="1:30" x14ac:dyDescent="0.55000000000000004">
      <c r="A26" s="297" t="s">
        <v>123</v>
      </c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</row>
    <row r="27" spans="1:30" s="101" customFormat="1" ht="24.6" customHeight="1" x14ac:dyDescent="0.55000000000000004">
      <c r="A27" s="384" t="s">
        <v>73</v>
      </c>
      <c r="B27" s="311" t="s">
        <v>74</v>
      </c>
      <c r="C27" s="311"/>
      <c r="D27" s="311"/>
      <c r="E27" s="311"/>
      <c r="F27" s="311"/>
      <c r="G27" s="311"/>
      <c r="H27" s="315" t="s">
        <v>75</v>
      </c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7"/>
      <c r="X27" s="352" t="s">
        <v>76</v>
      </c>
      <c r="Y27" s="110"/>
    </row>
    <row r="28" spans="1:30" x14ac:dyDescent="0.55000000000000004">
      <c r="A28" s="384"/>
      <c r="B28" s="311"/>
      <c r="C28" s="311"/>
      <c r="D28" s="311"/>
      <c r="E28" s="311"/>
      <c r="F28" s="311"/>
      <c r="G28" s="311"/>
      <c r="H28" s="312" t="s">
        <v>111</v>
      </c>
      <c r="I28" s="313"/>
      <c r="J28" s="313"/>
      <c r="K28" s="314"/>
      <c r="L28" s="312" t="s">
        <v>77</v>
      </c>
      <c r="M28" s="313"/>
      <c r="N28" s="313"/>
      <c r="O28" s="313"/>
      <c r="P28" s="313"/>
      <c r="Q28" s="313"/>
      <c r="R28" s="314"/>
      <c r="S28" s="312" t="s">
        <v>113</v>
      </c>
      <c r="T28" s="313"/>
      <c r="U28" s="314"/>
      <c r="V28" s="312" t="s">
        <v>114</v>
      </c>
      <c r="W28" s="314"/>
      <c r="X28" s="353"/>
      <c r="Z28"/>
      <c r="AA28"/>
      <c r="AB28"/>
      <c r="AC28"/>
      <c r="AD28"/>
    </row>
    <row r="29" spans="1:30" x14ac:dyDescent="0.55000000000000004">
      <c r="A29" s="385"/>
      <c r="B29" s="363" t="s">
        <v>78</v>
      </c>
      <c r="C29" s="363" t="s">
        <v>79</v>
      </c>
      <c r="D29" s="363" t="s">
        <v>80</v>
      </c>
      <c r="E29" s="363" t="s">
        <v>81</v>
      </c>
      <c r="F29" s="363" t="s">
        <v>83</v>
      </c>
      <c r="G29" s="364" t="s">
        <v>85</v>
      </c>
      <c r="H29" s="363" t="s">
        <v>78</v>
      </c>
      <c r="I29" s="363" t="s">
        <v>79</v>
      </c>
      <c r="J29" s="363" t="s">
        <v>81</v>
      </c>
      <c r="K29" s="364" t="s">
        <v>85</v>
      </c>
      <c r="L29" s="363" t="s">
        <v>78</v>
      </c>
      <c r="M29" s="363" t="s">
        <v>79</v>
      </c>
      <c r="N29" s="363" t="s">
        <v>80</v>
      </c>
      <c r="O29" s="363" t="s">
        <v>81</v>
      </c>
      <c r="P29" s="363" t="s">
        <v>82</v>
      </c>
      <c r="Q29" s="363" t="s">
        <v>83</v>
      </c>
      <c r="R29" s="364" t="s">
        <v>85</v>
      </c>
      <c r="S29" s="363" t="s">
        <v>79</v>
      </c>
      <c r="T29" s="363" t="s">
        <v>80</v>
      </c>
      <c r="U29" s="364" t="s">
        <v>85</v>
      </c>
      <c r="V29" s="363" t="s">
        <v>83</v>
      </c>
      <c r="W29" s="364" t="s">
        <v>85</v>
      </c>
      <c r="X29" s="354"/>
      <c r="Z29"/>
      <c r="AA29"/>
      <c r="AB29"/>
      <c r="AC29"/>
      <c r="AD29"/>
    </row>
    <row r="30" spans="1:30" x14ac:dyDescent="0.55000000000000004">
      <c r="A30" s="355" t="s">
        <v>87</v>
      </c>
      <c r="B30" s="356">
        <v>16</v>
      </c>
      <c r="C30" s="356">
        <v>14</v>
      </c>
      <c r="D30" s="356"/>
      <c r="E30" s="356"/>
      <c r="F30" s="356"/>
      <c r="G30" s="357">
        <v>30</v>
      </c>
      <c r="H30" s="356"/>
      <c r="I30" s="356"/>
      <c r="J30" s="356"/>
      <c r="K30" s="357"/>
      <c r="L30" s="356">
        <v>1</v>
      </c>
      <c r="M30" s="356"/>
      <c r="N30" s="356"/>
      <c r="O30" s="356"/>
      <c r="P30" s="356"/>
      <c r="Q30" s="356"/>
      <c r="R30" s="357">
        <v>1</v>
      </c>
      <c r="S30" s="356"/>
      <c r="T30" s="356"/>
      <c r="U30" s="357"/>
      <c r="V30" s="356"/>
      <c r="W30" s="357"/>
      <c r="X30" s="356">
        <v>31</v>
      </c>
    </row>
    <row r="31" spans="1:30" x14ac:dyDescent="0.55000000000000004">
      <c r="A31" s="358" t="s">
        <v>90</v>
      </c>
      <c r="B31" s="359">
        <v>57</v>
      </c>
      <c r="C31" s="359">
        <v>17</v>
      </c>
      <c r="D31" s="359">
        <v>5</v>
      </c>
      <c r="E31" s="359">
        <v>7</v>
      </c>
      <c r="F31" s="359">
        <v>2</v>
      </c>
      <c r="G31" s="360">
        <v>88</v>
      </c>
      <c r="H31" s="359">
        <v>4</v>
      </c>
      <c r="I31" s="359">
        <v>1</v>
      </c>
      <c r="J31" s="359"/>
      <c r="K31" s="360">
        <v>5</v>
      </c>
      <c r="L31" s="359"/>
      <c r="M31" s="359">
        <v>22</v>
      </c>
      <c r="N31" s="359">
        <v>8</v>
      </c>
      <c r="O31" s="359">
        <v>7</v>
      </c>
      <c r="P31" s="359">
        <v>12</v>
      </c>
      <c r="Q31" s="359">
        <v>2</v>
      </c>
      <c r="R31" s="360">
        <v>51</v>
      </c>
      <c r="S31" s="359">
        <v>2</v>
      </c>
      <c r="T31" s="359">
        <v>1</v>
      </c>
      <c r="U31" s="360">
        <v>3</v>
      </c>
      <c r="V31" s="359"/>
      <c r="W31" s="360"/>
      <c r="X31" s="359">
        <v>147</v>
      </c>
    </row>
    <row r="32" spans="1:30" x14ac:dyDescent="0.55000000000000004">
      <c r="A32" s="358" t="s">
        <v>91</v>
      </c>
      <c r="B32" s="359">
        <v>3</v>
      </c>
      <c r="C32" s="359">
        <v>1</v>
      </c>
      <c r="D32" s="359">
        <v>4</v>
      </c>
      <c r="E32" s="359">
        <v>1</v>
      </c>
      <c r="F32" s="359"/>
      <c r="G32" s="360">
        <v>9</v>
      </c>
      <c r="H32" s="359"/>
      <c r="I32" s="359"/>
      <c r="J32" s="359"/>
      <c r="K32" s="360"/>
      <c r="L32" s="359"/>
      <c r="M32" s="359">
        <v>4</v>
      </c>
      <c r="N32" s="359"/>
      <c r="O32" s="359">
        <v>1</v>
      </c>
      <c r="P32" s="359"/>
      <c r="Q32" s="359"/>
      <c r="R32" s="360">
        <v>5</v>
      </c>
      <c r="S32" s="359"/>
      <c r="T32" s="359"/>
      <c r="U32" s="360"/>
      <c r="V32" s="359"/>
      <c r="W32" s="360"/>
      <c r="X32" s="359">
        <v>14</v>
      </c>
    </row>
    <row r="33" spans="1:24" x14ac:dyDescent="0.55000000000000004">
      <c r="A33" s="358" t="s">
        <v>115</v>
      </c>
      <c r="B33" s="359"/>
      <c r="C33" s="359">
        <v>9</v>
      </c>
      <c r="D33" s="359"/>
      <c r="E33" s="359">
        <v>3</v>
      </c>
      <c r="F33" s="359"/>
      <c r="G33" s="360">
        <v>12</v>
      </c>
      <c r="H33" s="359"/>
      <c r="I33" s="359"/>
      <c r="J33" s="359"/>
      <c r="K33" s="360"/>
      <c r="L33" s="359"/>
      <c r="M33" s="359">
        <v>1</v>
      </c>
      <c r="N33" s="359"/>
      <c r="O33" s="359">
        <v>1</v>
      </c>
      <c r="P33" s="359"/>
      <c r="Q33" s="359"/>
      <c r="R33" s="360">
        <v>2</v>
      </c>
      <c r="S33" s="359"/>
      <c r="T33" s="359"/>
      <c r="U33" s="360"/>
      <c r="V33" s="359"/>
      <c r="W33" s="360"/>
      <c r="X33" s="359">
        <v>14</v>
      </c>
    </row>
    <row r="34" spans="1:24" x14ac:dyDescent="0.55000000000000004">
      <c r="A34" s="358" t="s">
        <v>116</v>
      </c>
      <c r="B34" s="359">
        <v>8</v>
      </c>
      <c r="C34" s="359">
        <v>6</v>
      </c>
      <c r="D34" s="359">
        <v>4</v>
      </c>
      <c r="E34" s="359">
        <v>1</v>
      </c>
      <c r="F34" s="359"/>
      <c r="G34" s="360">
        <v>19</v>
      </c>
      <c r="H34" s="359"/>
      <c r="I34" s="359"/>
      <c r="J34" s="359"/>
      <c r="K34" s="360"/>
      <c r="L34" s="359"/>
      <c r="M34" s="359">
        <v>4</v>
      </c>
      <c r="N34" s="359"/>
      <c r="O34" s="359"/>
      <c r="P34" s="359"/>
      <c r="Q34" s="359"/>
      <c r="R34" s="360">
        <v>4</v>
      </c>
      <c r="S34" s="359">
        <v>1</v>
      </c>
      <c r="T34" s="359"/>
      <c r="U34" s="360">
        <v>1</v>
      </c>
      <c r="V34" s="359"/>
      <c r="W34" s="360"/>
      <c r="X34" s="359">
        <v>24</v>
      </c>
    </row>
    <row r="35" spans="1:24" x14ac:dyDescent="0.55000000000000004">
      <c r="A35" s="358" t="s">
        <v>93</v>
      </c>
      <c r="B35" s="359">
        <v>29</v>
      </c>
      <c r="C35" s="359">
        <v>29</v>
      </c>
      <c r="D35" s="359">
        <v>27</v>
      </c>
      <c r="E35" s="359">
        <v>9</v>
      </c>
      <c r="F35" s="359">
        <v>9</v>
      </c>
      <c r="G35" s="360">
        <v>103</v>
      </c>
      <c r="H35" s="359"/>
      <c r="I35" s="359">
        <v>3</v>
      </c>
      <c r="J35" s="359"/>
      <c r="K35" s="360">
        <v>3</v>
      </c>
      <c r="L35" s="359"/>
      <c r="M35" s="359">
        <v>6</v>
      </c>
      <c r="N35" s="359">
        <v>2</v>
      </c>
      <c r="O35" s="359">
        <v>10</v>
      </c>
      <c r="P35" s="359">
        <v>7</v>
      </c>
      <c r="Q35" s="359">
        <v>2</v>
      </c>
      <c r="R35" s="360">
        <v>27</v>
      </c>
      <c r="S35" s="359"/>
      <c r="T35" s="359"/>
      <c r="U35" s="360"/>
      <c r="V35" s="359"/>
      <c r="W35" s="360"/>
      <c r="X35" s="359">
        <v>133</v>
      </c>
    </row>
    <row r="36" spans="1:24" x14ac:dyDescent="0.55000000000000004">
      <c r="A36" s="358" t="s">
        <v>94</v>
      </c>
      <c r="B36" s="359">
        <v>12</v>
      </c>
      <c r="C36" s="359">
        <v>5</v>
      </c>
      <c r="D36" s="359">
        <v>1</v>
      </c>
      <c r="E36" s="359"/>
      <c r="F36" s="359">
        <v>1</v>
      </c>
      <c r="G36" s="360">
        <v>19</v>
      </c>
      <c r="H36" s="359"/>
      <c r="I36" s="359">
        <v>1</v>
      </c>
      <c r="J36" s="359"/>
      <c r="K36" s="360">
        <v>1</v>
      </c>
      <c r="L36" s="359"/>
      <c r="M36" s="359">
        <v>6</v>
      </c>
      <c r="N36" s="359">
        <v>8</v>
      </c>
      <c r="O36" s="359">
        <v>1</v>
      </c>
      <c r="P36" s="359">
        <v>1</v>
      </c>
      <c r="Q36" s="359">
        <v>1</v>
      </c>
      <c r="R36" s="360">
        <v>17</v>
      </c>
      <c r="S36" s="359"/>
      <c r="T36" s="359"/>
      <c r="U36" s="360"/>
      <c r="V36" s="359"/>
      <c r="W36" s="360"/>
      <c r="X36" s="359">
        <v>37</v>
      </c>
    </row>
    <row r="37" spans="1:24" x14ac:dyDescent="0.55000000000000004">
      <c r="A37" s="358" t="s">
        <v>96</v>
      </c>
      <c r="B37" s="359">
        <v>42</v>
      </c>
      <c r="C37" s="359">
        <v>22</v>
      </c>
      <c r="D37" s="359">
        <v>15</v>
      </c>
      <c r="E37" s="359">
        <v>3</v>
      </c>
      <c r="F37" s="359">
        <v>9</v>
      </c>
      <c r="G37" s="360">
        <v>91</v>
      </c>
      <c r="H37" s="359"/>
      <c r="I37" s="359">
        <v>1</v>
      </c>
      <c r="J37" s="359"/>
      <c r="K37" s="360">
        <v>1</v>
      </c>
      <c r="L37" s="359"/>
      <c r="M37" s="359">
        <v>16</v>
      </c>
      <c r="N37" s="359">
        <v>9</v>
      </c>
      <c r="O37" s="359">
        <v>7</v>
      </c>
      <c r="P37" s="359">
        <v>4</v>
      </c>
      <c r="Q37" s="359"/>
      <c r="R37" s="360">
        <v>36</v>
      </c>
      <c r="S37" s="359"/>
      <c r="T37" s="359"/>
      <c r="U37" s="360"/>
      <c r="V37" s="359">
        <v>2</v>
      </c>
      <c r="W37" s="360">
        <v>2</v>
      </c>
      <c r="X37" s="359">
        <v>130</v>
      </c>
    </row>
    <row r="38" spans="1:24" x14ac:dyDescent="0.55000000000000004">
      <c r="A38" s="358" t="s">
        <v>97</v>
      </c>
      <c r="B38" s="359">
        <v>43</v>
      </c>
      <c r="C38" s="359">
        <v>50</v>
      </c>
      <c r="D38" s="359">
        <v>5</v>
      </c>
      <c r="E38" s="359">
        <v>1</v>
      </c>
      <c r="F38" s="359">
        <v>1</v>
      </c>
      <c r="G38" s="360">
        <v>100</v>
      </c>
      <c r="H38" s="359"/>
      <c r="I38" s="359"/>
      <c r="J38" s="359"/>
      <c r="K38" s="360"/>
      <c r="L38" s="359"/>
      <c r="M38" s="359">
        <v>6</v>
      </c>
      <c r="N38" s="359"/>
      <c r="O38" s="359">
        <v>1</v>
      </c>
      <c r="P38" s="359"/>
      <c r="Q38" s="359"/>
      <c r="R38" s="360">
        <v>7</v>
      </c>
      <c r="S38" s="359"/>
      <c r="T38" s="359"/>
      <c r="U38" s="360"/>
      <c r="V38" s="359"/>
      <c r="W38" s="360"/>
      <c r="X38" s="359">
        <v>107</v>
      </c>
    </row>
    <row r="39" spans="1:24" x14ac:dyDescent="0.55000000000000004">
      <c r="A39" s="358" t="s">
        <v>101</v>
      </c>
      <c r="B39" s="359">
        <v>6</v>
      </c>
      <c r="C39" s="359">
        <v>5</v>
      </c>
      <c r="D39" s="359">
        <v>5</v>
      </c>
      <c r="E39" s="359">
        <v>4</v>
      </c>
      <c r="F39" s="359"/>
      <c r="G39" s="360">
        <v>20</v>
      </c>
      <c r="H39" s="359"/>
      <c r="I39" s="359"/>
      <c r="J39" s="359"/>
      <c r="K39" s="360"/>
      <c r="L39" s="359"/>
      <c r="M39" s="359">
        <v>2</v>
      </c>
      <c r="N39" s="359"/>
      <c r="O39" s="359">
        <v>3</v>
      </c>
      <c r="P39" s="359"/>
      <c r="Q39" s="359"/>
      <c r="R39" s="360">
        <v>5</v>
      </c>
      <c r="S39" s="359"/>
      <c r="T39" s="359"/>
      <c r="U39" s="360"/>
      <c r="V39" s="359"/>
      <c r="W39" s="360"/>
      <c r="X39" s="359">
        <v>25</v>
      </c>
    </row>
    <row r="40" spans="1:24" x14ac:dyDescent="0.55000000000000004">
      <c r="A40" s="358" t="s">
        <v>102</v>
      </c>
      <c r="B40" s="359">
        <v>1</v>
      </c>
      <c r="C40" s="359">
        <v>2</v>
      </c>
      <c r="D40" s="359">
        <v>1</v>
      </c>
      <c r="E40" s="359"/>
      <c r="F40" s="359"/>
      <c r="G40" s="360">
        <v>4</v>
      </c>
      <c r="H40" s="359"/>
      <c r="I40" s="359">
        <v>1</v>
      </c>
      <c r="J40" s="359"/>
      <c r="K40" s="360">
        <v>1</v>
      </c>
      <c r="L40" s="359"/>
      <c r="M40" s="359"/>
      <c r="N40" s="359"/>
      <c r="O40" s="359"/>
      <c r="P40" s="359"/>
      <c r="Q40" s="359"/>
      <c r="R40" s="360"/>
      <c r="S40" s="359"/>
      <c r="T40" s="359"/>
      <c r="U40" s="360"/>
      <c r="V40" s="359"/>
      <c r="W40" s="360"/>
      <c r="X40" s="359">
        <v>5</v>
      </c>
    </row>
    <row r="41" spans="1:24" x14ac:dyDescent="0.55000000000000004">
      <c r="A41" s="358" t="s">
        <v>103</v>
      </c>
      <c r="B41" s="359">
        <v>328</v>
      </c>
      <c r="C41" s="359">
        <v>325</v>
      </c>
      <c r="D41" s="359">
        <v>37</v>
      </c>
      <c r="E41" s="359">
        <v>10</v>
      </c>
      <c r="F41" s="359">
        <v>5</v>
      </c>
      <c r="G41" s="360">
        <v>705</v>
      </c>
      <c r="H41" s="359">
        <v>4</v>
      </c>
      <c r="I41" s="359">
        <v>5</v>
      </c>
      <c r="J41" s="359">
        <v>1</v>
      </c>
      <c r="K41" s="360">
        <v>10</v>
      </c>
      <c r="L41" s="359"/>
      <c r="M41" s="359">
        <v>30</v>
      </c>
      <c r="N41" s="359">
        <v>52</v>
      </c>
      <c r="O41" s="359">
        <v>56</v>
      </c>
      <c r="P41" s="359">
        <v>16</v>
      </c>
      <c r="Q41" s="359">
        <v>2</v>
      </c>
      <c r="R41" s="360">
        <v>156</v>
      </c>
      <c r="S41" s="359"/>
      <c r="T41" s="359"/>
      <c r="U41" s="360"/>
      <c r="V41" s="359">
        <v>1</v>
      </c>
      <c r="W41" s="360">
        <v>1</v>
      </c>
      <c r="X41" s="359">
        <v>872</v>
      </c>
    </row>
    <row r="42" spans="1:24" x14ac:dyDescent="0.55000000000000004">
      <c r="A42" s="358" t="s">
        <v>119</v>
      </c>
      <c r="B42" s="359">
        <v>13</v>
      </c>
      <c r="C42" s="359">
        <v>5</v>
      </c>
      <c r="D42" s="359"/>
      <c r="E42" s="359"/>
      <c r="F42" s="359"/>
      <c r="G42" s="360">
        <v>18</v>
      </c>
      <c r="H42" s="359">
        <v>5</v>
      </c>
      <c r="I42" s="359"/>
      <c r="J42" s="359"/>
      <c r="K42" s="360">
        <v>5</v>
      </c>
      <c r="L42" s="359"/>
      <c r="M42" s="359">
        <v>2</v>
      </c>
      <c r="N42" s="359"/>
      <c r="O42" s="359"/>
      <c r="P42" s="359"/>
      <c r="Q42" s="359"/>
      <c r="R42" s="360">
        <v>2</v>
      </c>
      <c r="S42" s="359"/>
      <c r="T42" s="359"/>
      <c r="U42" s="360"/>
      <c r="V42" s="359"/>
      <c r="W42" s="360"/>
      <c r="X42" s="359">
        <v>25</v>
      </c>
    </row>
    <row r="43" spans="1:24" x14ac:dyDescent="0.55000000000000004">
      <c r="A43" s="358" t="s">
        <v>105</v>
      </c>
      <c r="B43" s="359">
        <v>92</v>
      </c>
      <c r="C43" s="359">
        <v>146</v>
      </c>
      <c r="D43" s="359">
        <v>15</v>
      </c>
      <c r="E43" s="359">
        <v>3</v>
      </c>
      <c r="F43" s="359">
        <v>1</v>
      </c>
      <c r="G43" s="360">
        <v>257</v>
      </c>
      <c r="H43" s="359">
        <v>2</v>
      </c>
      <c r="I43" s="359">
        <v>4</v>
      </c>
      <c r="J43" s="359"/>
      <c r="K43" s="360">
        <v>6</v>
      </c>
      <c r="L43" s="359"/>
      <c r="M43" s="359">
        <v>12</v>
      </c>
      <c r="N43" s="359">
        <v>13</v>
      </c>
      <c r="O43" s="359">
        <v>8</v>
      </c>
      <c r="P43" s="359">
        <v>4</v>
      </c>
      <c r="Q43" s="359">
        <v>1</v>
      </c>
      <c r="R43" s="360">
        <v>38</v>
      </c>
      <c r="S43" s="359"/>
      <c r="T43" s="359"/>
      <c r="U43" s="360"/>
      <c r="V43" s="359">
        <v>2</v>
      </c>
      <c r="W43" s="360">
        <v>2</v>
      </c>
      <c r="X43" s="359">
        <v>303</v>
      </c>
    </row>
    <row r="44" spans="1:24" x14ac:dyDescent="0.55000000000000004">
      <c r="A44" s="358" t="s">
        <v>106</v>
      </c>
      <c r="B44" s="359">
        <v>14</v>
      </c>
      <c r="C44" s="359">
        <v>9</v>
      </c>
      <c r="D44" s="359"/>
      <c r="E44" s="359"/>
      <c r="F44" s="359">
        <v>3</v>
      </c>
      <c r="G44" s="360">
        <v>26</v>
      </c>
      <c r="H44" s="359"/>
      <c r="I44" s="359"/>
      <c r="J44" s="359"/>
      <c r="K44" s="360"/>
      <c r="L44" s="359"/>
      <c r="M44" s="359"/>
      <c r="N44" s="359"/>
      <c r="O44" s="359"/>
      <c r="P44" s="359"/>
      <c r="Q44" s="359"/>
      <c r="R44" s="360"/>
      <c r="S44" s="359"/>
      <c r="T44" s="359"/>
      <c r="U44" s="360"/>
      <c r="V44" s="359"/>
      <c r="W44" s="360"/>
      <c r="X44" s="359">
        <v>26</v>
      </c>
    </row>
    <row r="45" spans="1:24" x14ac:dyDescent="0.55000000000000004">
      <c r="A45" s="358" t="s">
        <v>120</v>
      </c>
      <c r="B45" s="359">
        <v>38</v>
      </c>
      <c r="C45" s="359">
        <v>12</v>
      </c>
      <c r="D45" s="359">
        <v>1</v>
      </c>
      <c r="E45" s="359">
        <v>2</v>
      </c>
      <c r="F45" s="359"/>
      <c r="G45" s="360">
        <v>53</v>
      </c>
      <c r="H45" s="359">
        <v>2</v>
      </c>
      <c r="I45" s="359">
        <v>2</v>
      </c>
      <c r="J45" s="359"/>
      <c r="K45" s="360">
        <v>4</v>
      </c>
      <c r="L45" s="359"/>
      <c r="M45" s="359">
        <v>8</v>
      </c>
      <c r="N45" s="359">
        <v>7</v>
      </c>
      <c r="O45" s="359">
        <v>11</v>
      </c>
      <c r="P45" s="359">
        <v>4</v>
      </c>
      <c r="Q45" s="359">
        <v>4</v>
      </c>
      <c r="R45" s="360">
        <v>34</v>
      </c>
      <c r="S45" s="359"/>
      <c r="T45" s="359"/>
      <c r="U45" s="360"/>
      <c r="V45" s="359"/>
      <c r="W45" s="360"/>
      <c r="X45" s="359">
        <v>91</v>
      </c>
    </row>
    <row r="46" spans="1:24" x14ac:dyDescent="0.55000000000000004">
      <c r="A46" s="358" t="s">
        <v>107</v>
      </c>
      <c r="B46" s="359">
        <v>23</v>
      </c>
      <c r="C46" s="359">
        <v>5</v>
      </c>
      <c r="D46" s="359">
        <v>5</v>
      </c>
      <c r="E46" s="359"/>
      <c r="F46" s="359"/>
      <c r="G46" s="360">
        <v>33</v>
      </c>
      <c r="H46" s="359"/>
      <c r="I46" s="359">
        <v>1</v>
      </c>
      <c r="J46" s="359"/>
      <c r="K46" s="360">
        <v>1</v>
      </c>
      <c r="L46" s="359"/>
      <c r="M46" s="359">
        <v>1</v>
      </c>
      <c r="N46" s="359">
        <v>1</v>
      </c>
      <c r="O46" s="359"/>
      <c r="P46" s="359"/>
      <c r="Q46" s="359"/>
      <c r="R46" s="360">
        <v>2</v>
      </c>
      <c r="S46" s="359"/>
      <c r="T46" s="359"/>
      <c r="U46" s="360"/>
      <c r="V46" s="359"/>
      <c r="W46" s="360"/>
      <c r="X46" s="359">
        <v>36</v>
      </c>
    </row>
    <row r="47" spans="1:24" x14ac:dyDescent="0.55000000000000004">
      <c r="A47" s="358" t="s">
        <v>108</v>
      </c>
      <c r="B47" s="359">
        <v>1</v>
      </c>
      <c r="C47" s="359">
        <v>2</v>
      </c>
      <c r="D47" s="359"/>
      <c r="E47" s="359"/>
      <c r="F47" s="359"/>
      <c r="G47" s="360">
        <v>3</v>
      </c>
      <c r="H47" s="359"/>
      <c r="I47" s="359"/>
      <c r="J47" s="359"/>
      <c r="K47" s="360"/>
      <c r="L47" s="359"/>
      <c r="M47" s="359"/>
      <c r="N47" s="359"/>
      <c r="O47" s="359"/>
      <c r="P47" s="359"/>
      <c r="Q47" s="359"/>
      <c r="R47" s="360"/>
      <c r="S47" s="359"/>
      <c r="T47" s="359"/>
      <c r="U47" s="360"/>
      <c r="V47" s="359"/>
      <c r="W47" s="360"/>
      <c r="X47" s="359">
        <v>3</v>
      </c>
    </row>
    <row r="48" spans="1:24" x14ac:dyDescent="0.55000000000000004">
      <c r="A48" s="361" t="s">
        <v>109</v>
      </c>
      <c r="B48" s="362">
        <v>726</v>
      </c>
      <c r="C48" s="362">
        <v>664</v>
      </c>
      <c r="D48" s="362">
        <v>125</v>
      </c>
      <c r="E48" s="362">
        <v>44</v>
      </c>
      <c r="F48" s="362">
        <v>31</v>
      </c>
      <c r="G48" s="362">
        <v>1590</v>
      </c>
      <c r="H48" s="362">
        <v>17</v>
      </c>
      <c r="I48" s="362">
        <v>19</v>
      </c>
      <c r="J48" s="362">
        <v>1</v>
      </c>
      <c r="K48" s="362">
        <v>37</v>
      </c>
      <c r="L48" s="362">
        <v>1</v>
      </c>
      <c r="M48" s="362">
        <v>120</v>
      </c>
      <c r="N48" s="362">
        <v>100</v>
      </c>
      <c r="O48" s="362">
        <v>106</v>
      </c>
      <c r="P48" s="362">
        <v>48</v>
      </c>
      <c r="Q48" s="362">
        <v>12</v>
      </c>
      <c r="R48" s="362">
        <v>387</v>
      </c>
      <c r="S48" s="362">
        <v>3</v>
      </c>
      <c r="T48" s="362">
        <v>1</v>
      </c>
      <c r="U48" s="362">
        <v>4</v>
      </c>
      <c r="V48" s="362">
        <v>5</v>
      </c>
      <c r="W48" s="362">
        <v>5</v>
      </c>
      <c r="X48" s="362">
        <v>2023</v>
      </c>
    </row>
    <row r="56" ht="13.5" customHeight="1" x14ac:dyDescent="0.55000000000000004"/>
  </sheetData>
  <mergeCells count="17">
    <mergeCell ref="A26:V26"/>
    <mergeCell ref="A27:A29"/>
    <mergeCell ref="B27:G28"/>
    <mergeCell ref="H27:W27"/>
    <mergeCell ref="X27:X29"/>
    <mergeCell ref="H28:K28"/>
    <mergeCell ref="L28:R28"/>
    <mergeCell ref="S28:U28"/>
    <mergeCell ref="V28:W28"/>
    <mergeCell ref="A1:V1"/>
    <mergeCell ref="A2:A4"/>
    <mergeCell ref="B2:G3"/>
    <mergeCell ref="H2:U2"/>
    <mergeCell ref="V2:V4"/>
    <mergeCell ref="H3:L3"/>
    <mergeCell ref="M3:Q3"/>
    <mergeCell ref="R3:S3"/>
  </mergeCells>
  <pageMargins left="0.7" right="0.7" top="0.75" bottom="0.75" header="0.3" footer="0.3"/>
  <pageSetup paperSize="9" scale="72" orientation="landscape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1</vt:i4>
      </vt:variant>
    </vt:vector>
  </HeadingPairs>
  <TitlesOfParts>
    <vt:vector size="8" baseType="lpstr">
      <vt:lpstr>สรุป 2 56</vt:lpstr>
      <vt:lpstr>สรุป1 2 56</vt:lpstr>
      <vt:lpstr>ตรีปกติ</vt:lpstr>
      <vt:lpstr>ตรีพิเศษ</vt:lpstr>
      <vt:lpstr>ตรีเทียบเข้า</vt:lpstr>
      <vt:lpstr>ป เอก</vt:lpstr>
      <vt:lpstr>ป โท</vt:lpstr>
      <vt:lpstr>ตรีเทียบเข้า!Print_Titles</vt:lpstr>
    </vt:vector>
  </TitlesOfParts>
  <Company>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s</cp:lastModifiedBy>
  <cp:lastPrinted>2014-09-15T05:09:03Z</cp:lastPrinted>
  <dcterms:created xsi:type="dcterms:W3CDTF">2014-09-11T07:23:33Z</dcterms:created>
  <dcterms:modified xsi:type="dcterms:W3CDTF">2014-09-15T05:13:42Z</dcterms:modified>
</cp:coreProperties>
</file>